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fi\RISE Projekter\2023_BREC\Report\final\"/>
    </mc:Choice>
  </mc:AlternateContent>
  <xr:revisionPtr revIDLastSave="0" documentId="13_ncr:1_{1446BC8A-4332-4C45-93DF-B663632165C7}" xr6:coauthVersionLast="47" xr6:coauthVersionMax="47" xr10:uidLastSave="{00000000-0000-0000-0000-000000000000}"/>
  <bookViews>
    <workbookView xWindow="-120" yWindow="-120" windowWidth="38640" windowHeight="21120" xr2:uid="{06B8D284-3402-4299-BBC1-462A60E5B032}"/>
  </bookViews>
  <sheets>
    <sheet name="BREC_Pilot plant concept_NOME" sheetId="1" r:id="rId1"/>
  </sheets>
  <externalReferences>
    <externalReference r:id="rId2"/>
    <externalReference r:id="rId3"/>
  </externalReferences>
  <definedNames>
    <definedName name="ArealVall">[1]Faktorer!$D$8</definedName>
    <definedName name="Avkastning1">[1]Faktorer!$D$9</definedName>
    <definedName name="Avkastning2">[1]Faktorer!$D$10</definedName>
    <definedName name="Capacity">#REF!</definedName>
    <definedName name="hydrolysvatten">[2]Indata!$B$12</definedName>
    <definedName name="kapacitet">#REF!</definedName>
    <definedName name="metan_värmevärde">[2]Indata!$B$3</definedName>
    <definedName name="substrategenskaper">[2]Substratförråd!$A$5:$AD200</definedName>
    <definedName name="substratnamn">[2]Substratförråd!$A$5:$A$205</definedName>
    <definedName name="TotalMängd">[1]Faktorer!$D$7</definedName>
    <definedName name="WBMA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Q84" i="1" s="1"/>
  <c r="AC79" i="1" s="1"/>
  <c r="B89" i="1"/>
  <c r="B90" i="1" s="1"/>
  <c r="B91" i="1" s="1"/>
  <c r="B92" i="1" s="1"/>
  <c r="Q79" i="1"/>
  <c r="Q80" i="1" s="1"/>
  <c r="Q81" i="1" s="1"/>
  <c r="Q82" i="1" s="1"/>
  <c r="Q83" i="1" s="1"/>
  <c r="G79" i="1"/>
  <c r="G80" i="1" s="1"/>
  <c r="G81" i="1" s="1"/>
  <c r="G82" i="1" s="1"/>
  <c r="G83" i="1" s="1"/>
  <c r="B67" i="1"/>
  <c r="B68" i="1" s="1"/>
  <c r="B69" i="1" s="1"/>
  <c r="B70" i="1" s="1"/>
  <c r="E64" i="1"/>
  <c r="AC60" i="1"/>
  <c r="AC61" i="1" s="1"/>
  <c r="E53" i="1"/>
  <c r="B53" i="1"/>
  <c r="B54" i="1" s="1"/>
  <c r="B55" i="1" s="1"/>
  <c r="B56" i="1" s="1"/>
  <c r="E51" i="1"/>
  <c r="B39" i="1"/>
  <c r="B40" i="1" s="1"/>
  <c r="B41" i="1" s="1"/>
  <c r="B42" i="1" s="1"/>
  <c r="E38" i="1"/>
  <c r="E36" i="1"/>
  <c r="Q35" i="1"/>
  <c r="B28" i="1"/>
  <c r="B29" i="1" s="1"/>
  <c r="B30" i="1" s="1"/>
  <c r="B31" i="1" s="1"/>
  <c r="E25" i="1"/>
  <c r="Q18" i="1"/>
  <c r="B17" i="1"/>
  <c r="B18" i="1" s="1"/>
  <c r="E14" i="1"/>
  <c r="J13" i="1"/>
  <c r="J18" i="1" s="1"/>
  <c r="I13" i="1"/>
  <c r="J12" i="1"/>
  <c r="I12" i="1"/>
  <c r="J11" i="1"/>
  <c r="I11" i="1"/>
  <c r="J10" i="1"/>
  <c r="I10" i="1"/>
  <c r="J9" i="1"/>
  <c r="I9" i="1"/>
  <c r="J8" i="1"/>
  <c r="J17" i="1" s="1"/>
  <c r="I8" i="1"/>
  <c r="J16" i="1" l="1"/>
  <c r="U19" i="1"/>
  <c r="U20" i="1" s="1"/>
  <c r="AC78" i="1"/>
  <c r="Q20" i="1"/>
  <c r="Q23" i="1" s="1"/>
  <c r="J15" i="1" s="1"/>
  <c r="G84" i="1"/>
  <c r="U18" i="1"/>
  <c r="U25" i="1" s="1"/>
  <c r="U27" i="1" s="1"/>
  <c r="Q21" i="1"/>
  <c r="B19" i="1"/>
  <c r="B20" i="1" s="1"/>
  <c r="Q19" i="1"/>
  <c r="Q25" i="1" s="1"/>
  <c r="J14" i="1"/>
  <c r="L14" i="1" s="1"/>
  <c r="Q31" i="1"/>
  <c r="Q32" i="1" s="1"/>
  <c r="U26" i="1" l="1"/>
  <c r="Y22" i="1" s="1"/>
  <c r="L13" i="1"/>
  <c r="L9" i="1"/>
  <c r="L11" i="1"/>
  <c r="L10" i="1"/>
  <c r="L8" i="1"/>
  <c r="Q24" i="1"/>
  <c r="Q34" i="1"/>
  <c r="L12" i="1"/>
  <c r="Y8" i="1" l="1"/>
  <c r="Y18" i="1" s="1"/>
  <c r="Y19" i="1" s="1"/>
  <c r="U32" i="1"/>
  <c r="Y35" i="1"/>
  <c r="Y36" i="1" s="1"/>
  <c r="U24" i="1"/>
  <c r="Q46" i="1" s="1"/>
  <c r="Q48" i="1" s="1"/>
  <c r="Y31" i="1"/>
  <c r="Y27" i="1"/>
  <c r="Y23" i="1"/>
  <c r="Q49" i="1" l="1"/>
  <c r="Q47" i="1"/>
  <c r="Y45" i="1" s="1"/>
  <c r="Y49" i="1" s="1"/>
  <c r="Y9" i="1"/>
  <c r="Y10" i="1"/>
  <c r="Y11" i="1"/>
  <c r="Y16" i="1" s="1"/>
  <c r="AC30" i="1"/>
  <c r="AC32" i="1" s="1"/>
  <c r="AC33" i="1" s="1"/>
  <c r="AC34" i="1" s="1"/>
  <c r="Y32" i="1"/>
  <c r="AC27" i="1" s="1"/>
  <c r="Y17" i="1"/>
  <c r="AC11" i="1" s="1"/>
  <c r="Y50" i="1"/>
  <c r="Y52" i="1" s="1"/>
  <c r="AC21" i="1"/>
  <c r="Y30" i="1"/>
  <c r="Y29" i="1"/>
  <c r="AC22" i="1" s="1"/>
  <c r="AC23" i="1" s="1"/>
  <c r="AC24" i="1" s="1"/>
  <c r="Y28" i="1"/>
  <c r="Y51" i="1" l="1"/>
  <c r="AC38" i="1"/>
  <c r="Y15" i="1"/>
  <c r="AC10" i="1"/>
  <c r="AC28" i="1"/>
  <c r="AC29" i="1"/>
  <c r="AC46" i="1" l="1"/>
  <c r="AC47" i="1" s="1"/>
  <c r="AC39" i="1"/>
  <c r="AC40" i="1" s="1"/>
  <c r="AC41" i="1" s="1"/>
  <c r="AC42" i="1"/>
</calcChain>
</file>

<file path=xl/sharedStrings.xml><?xml version="1.0" encoding="utf-8"?>
<sst xmlns="http://schemas.openxmlformats.org/spreadsheetml/2006/main" count="264" uniqueCount="172">
  <si>
    <t>INPUT DATA</t>
  </si>
  <si>
    <t>(changeable data)</t>
  </si>
  <si>
    <t>INPUT SUBSTRATE</t>
  </si>
  <si>
    <t>SUBSTRATE STORAGE</t>
  </si>
  <si>
    <t>SUBSTRATE INPUT / PRETREATMENT</t>
  </si>
  <si>
    <t xml:space="preserve">DIGESTION </t>
  </si>
  <si>
    <t>BIOGAS PRODUCTION</t>
  </si>
  <si>
    <t>BIOGAS CONVERSION</t>
  </si>
  <si>
    <t>BIOREFINERY OUTPUT PRODUCTS</t>
  </si>
  <si>
    <t>kWh/a</t>
  </si>
  <si>
    <t>Substrate input mix</t>
  </si>
  <si>
    <t>CHP - plant (Option 1)</t>
  </si>
  <si>
    <t>t/d</t>
  </si>
  <si>
    <t xml:space="preserve">m3/a Biogas input </t>
  </si>
  <si>
    <t>t/a Biogas input</t>
  </si>
  <si>
    <t>Energy</t>
  </si>
  <si>
    <t>Energy Output</t>
  </si>
  <si>
    <t>Basis-Substrate</t>
  </si>
  <si>
    <t xml:space="preserve">m3/h Biogas input </t>
  </si>
  <si>
    <t xml:space="preserve">kWh/a Power output </t>
  </si>
  <si>
    <t xml:space="preserve">kWh/a calorific energy  input </t>
  </si>
  <si>
    <t>kWh/a Heat output</t>
  </si>
  <si>
    <t>COW MANURE</t>
  </si>
  <si>
    <t>Storage tank Cow manure</t>
  </si>
  <si>
    <t>electrical efficiency CHP-plant (ca. 20 - 50 kW)</t>
  </si>
  <si>
    <t>tFM/a</t>
  </si>
  <si>
    <t>m3 Tank volume netto</t>
  </si>
  <si>
    <t>thermal efficiency CHP-plant</t>
  </si>
  <si>
    <t>DM of FM</t>
  </si>
  <si>
    <t xml:space="preserve"> d Storage time </t>
  </si>
  <si>
    <t>Total substrate input mix</t>
  </si>
  <si>
    <t xml:space="preserve">h full load hours </t>
  </si>
  <si>
    <t>VS of DM</t>
  </si>
  <si>
    <t>DM-content substrate input mix</t>
  </si>
  <si>
    <t>DM</t>
  </si>
  <si>
    <t>t/a CO2 mass output</t>
  </si>
  <si>
    <t>NLCH4/kgVS</t>
  </si>
  <si>
    <t>Liquid pumpable</t>
  </si>
  <si>
    <t>Total solid substrate</t>
  </si>
  <si>
    <t>tVS/a</t>
  </si>
  <si>
    <t>Total liquid substrate</t>
  </si>
  <si>
    <t>Digester</t>
  </si>
  <si>
    <t>Biogas production</t>
  </si>
  <si>
    <t>Nm3CH4/tFM</t>
  </si>
  <si>
    <t>Total process water / recirculate</t>
  </si>
  <si>
    <t>t/a Input substrate mix</t>
  </si>
  <si>
    <t>m3/d CH4-production per day</t>
  </si>
  <si>
    <t>m3/a CO2 output (Exhaust gas)</t>
  </si>
  <si>
    <t>kWh/tFM</t>
  </si>
  <si>
    <t>t/d Input substrate mix</t>
  </si>
  <si>
    <t>m3/a CH4-production per year</t>
  </si>
  <si>
    <t>Biogas</t>
  </si>
  <si>
    <t>t/a CO2 mass output (Exhaust gas)</t>
  </si>
  <si>
    <t xml:space="preserve">t/a DM-Content substrate mix </t>
  </si>
  <si>
    <t xml:space="preserve">GWh/a Thermal energy content </t>
  </si>
  <si>
    <t>Biomethane as vehicle fuel</t>
  </si>
  <si>
    <t>Input substrate mix</t>
  </si>
  <si>
    <t>t/a VS volatile solids</t>
  </si>
  <si>
    <t>CH4-content in Biogas (ca.)</t>
  </si>
  <si>
    <t>Upgrading plant (Option 2)</t>
  </si>
  <si>
    <t>m3/a Biomethane volume output</t>
  </si>
  <si>
    <t>m3 digester volume netto</t>
  </si>
  <si>
    <t xml:space="preserve"> kWh/Nm3CH4 calorific value methane</t>
  </si>
  <si>
    <t>m3/a Biogas input</t>
  </si>
  <si>
    <t>Biomethane (CH4)</t>
  </si>
  <si>
    <t>t/a Biomethane mass output</t>
  </si>
  <si>
    <t>PIG MANURE</t>
  </si>
  <si>
    <t>Storage tank Pig manure</t>
  </si>
  <si>
    <t>DM-content substrate mix (max 11 %)</t>
  </si>
  <si>
    <t>kg/m3 mass density biogas (ca.)</t>
  </si>
  <si>
    <t>kg/d Biomethan output</t>
  </si>
  <si>
    <t>kg VS/m3*d organic loading rate digester (max 3,5 )</t>
  </si>
  <si>
    <t>t/a Biogas mass per year</t>
  </si>
  <si>
    <t>kg/m3 mass density Biomethane (CH4)</t>
  </si>
  <si>
    <t>m3/d</t>
  </si>
  <si>
    <t>d retention time substrate mix in digester</t>
  </si>
  <si>
    <t>m3/d Biogas production per day</t>
  </si>
  <si>
    <t>kg/m3 mass density CO2 (ca.)</t>
  </si>
  <si>
    <t>CO2-Liquefaction (LCO2)</t>
  </si>
  <si>
    <t>m3/a Biogas production per year</t>
  </si>
  <si>
    <t>% CH4-losses upgrading process</t>
  </si>
  <si>
    <t>Minimum CO2 purity in Input</t>
  </si>
  <si>
    <t>m3 Biogas storage tank (2 days)</t>
  </si>
  <si>
    <t>t/a CO2 mass Input</t>
  </si>
  <si>
    <t>m3/h Biomethane volume output</t>
  </si>
  <si>
    <t>kg/d CO2 mass Input</t>
  </si>
  <si>
    <t>Nm3 CH4/tFM</t>
  </si>
  <si>
    <t>kg/h CO2 Input</t>
  </si>
  <si>
    <t>Post-Digester</t>
  </si>
  <si>
    <t>Condensate biogas</t>
  </si>
  <si>
    <t>GWh/a Biomethane energy content output</t>
  </si>
  <si>
    <t xml:space="preserve">CO2 </t>
  </si>
  <si>
    <t>m3/h CO2 Input</t>
  </si>
  <si>
    <t>t/a Digestate per year</t>
  </si>
  <si>
    <t>g/m3 amount condensate biogas (ca.)</t>
  </si>
  <si>
    <t>m3/a CO2 output (inkl. 4 % losses)</t>
  </si>
  <si>
    <t>kg/m³ density LCO2 (Liquid CO2; -28°C; 16 bara)</t>
  </si>
  <si>
    <t>t/d Digestate per day</t>
  </si>
  <si>
    <t>t/a Condensate (water)</t>
  </si>
  <si>
    <t>L/h LCO2</t>
  </si>
  <si>
    <t>Storage area Horse manure / Solid manure</t>
  </si>
  <si>
    <t>m3 Post-Digester volume netto</t>
  </si>
  <si>
    <t>L/d LCO2</t>
  </si>
  <si>
    <t>HORSE MANURE</t>
  </si>
  <si>
    <t>t/m3 Density solid manure</t>
  </si>
  <si>
    <t>kg VS/m3*d organic loading rate (digester + post-digester)</t>
  </si>
  <si>
    <t>Biogas flare (Safety Option)</t>
  </si>
  <si>
    <t>L/a LCO2 Liquid CO2 output</t>
  </si>
  <si>
    <t>m Hight of stack solid manure</t>
  </si>
  <si>
    <t>m3 Total digester volume (digester + post-digester)</t>
  </si>
  <si>
    <t>m3/a Storage volume per year</t>
  </si>
  <si>
    <t>m3/h Biogas flare capacity</t>
  </si>
  <si>
    <t>DIGESTATE TREATMENT</t>
  </si>
  <si>
    <t>m2 Storage area netto</t>
  </si>
  <si>
    <t>d Storage time</t>
  </si>
  <si>
    <t>t/d Input liquid phase per day</t>
  </si>
  <si>
    <t>Solid not pumpable</t>
  </si>
  <si>
    <t>t/a Input liquid phase per year</t>
  </si>
  <si>
    <t>m3/a Input liquid phase per day</t>
  </si>
  <si>
    <t xml:space="preserve">m3/d Input </t>
  </si>
  <si>
    <t>DIGESTATE</t>
  </si>
  <si>
    <t>Air</t>
  </si>
  <si>
    <t>L/h Input liquid phase per day</t>
  </si>
  <si>
    <t>DM-content digestate before separation (ca.)</t>
  </si>
  <si>
    <t>Digestate separation</t>
  </si>
  <si>
    <t>DM-content liquid phase after separation (ca.)</t>
  </si>
  <si>
    <t>Co-Substrate</t>
  </si>
  <si>
    <t>Digestate</t>
  </si>
  <si>
    <t>t/d Input digestate separation per day</t>
  </si>
  <si>
    <t xml:space="preserve"> Liquid phase</t>
  </si>
  <si>
    <t>DM-content solid phase after separation (ca.)</t>
  </si>
  <si>
    <t>t/a NEO enriched Liquid phase output (Fertilizer with double amount of Nitrogen )</t>
  </si>
  <si>
    <t>L/d NEO enriched Liquid phase output (Fertilizer with double amount of Nitrogen )</t>
  </si>
  <si>
    <t>APPLE JUICE POMACE</t>
  </si>
  <si>
    <t>Storage area Pomace</t>
  </si>
  <si>
    <t>m3 Storage capacity netto for 8 months</t>
  </si>
  <si>
    <t>Solid phase</t>
  </si>
  <si>
    <t>t/m3 Density Pomace</t>
  </si>
  <si>
    <t>m3 Storage capacity netto for 10 months</t>
  </si>
  <si>
    <t>t/d liquid phase per day (ca. 90% of input)</t>
  </si>
  <si>
    <t>t/d solid phase per day (ca. 10% of input)</t>
  </si>
  <si>
    <t>t/a Liquid phase output (Fertilizer or Recirkulat)</t>
  </si>
  <si>
    <t xml:space="preserve">t/a Solid phase output </t>
  </si>
  <si>
    <t>Recirculate for digestion process</t>
  </si>
  <si>
    <t>t/d Recirculate liquid phase per day</t>
  </si>
  <si>
    <t>t/a Recirculate Liquid phase output (for digestion )</t>
  </si>
  <si>
    <t>PROCESS WATER /RECIRCULATE</t>
  </si>
  <si>
    <t>Storage tank Recirculate</t>
  </si>
  <si>
    <t xml:space="preserve">  </t>
  </si>
  <si>
    <t>PRESS JUICE from GRASS SILAGE</t>
  </si>
  <si>
    <t>GRASS SILAGE Press cake</t>
  </si>
  <si>
    <t>GRASS silage Press juice</t>
  </si>
  <si>
    <t>Press cake content of FM Input</t>
  </si>
  <si>
    <t>Press juice content of FM Input</t>
  </si>
  <si>
    <t xml:space="preserve">Animal feed - Monogastric animal </t>
  </si>
  <si>
    <t>Protein content in Press cake</t>
  </si>
  <si>
    <t>Protein content in Press juice</t>
  </si>
  <si>
    <t>t/a Grass silage Press juice output</t>
  </si>
  <si>
    <t xml:space="preserve">tFM/a </t>
  </si>
  <si>
    <t>t/a Raw protein mass in Press juice output</t>
  </si>
  <si>
    <t>GRASS silage</t>
  </si>
  <si>
    <t>t/a Raw protein mass in Press cake</t>
  </si>
  <si>
    <t>t/a Raw protein mass in Press juice</t>
  </si>
  <si>
    <t xml:space="preserve"> Raw protein/DM-content</t>
  </si>
  <si>
    <t>t/a Raw protein mass</t>
  </si>
  <si>
    <t>PROTEIN EXTRACTION / PROTEIN CONCENTRATE (Option)</t>
  </si>
  <si>
    <t>FERTILISER - Nitrogen boosting / enrichment in liquid phase of digestate (N2-Applied)</t>
  </si>
  <si>
    <t>FERTILISER - Agriculture</t>
  </si>
  <si>
    <t>BREC - BIOREFINERY PILOT PLANT CONCEPT - CALCULATION TOOL</t>
  </si>
  <si>
    <t>kW installed electr. capacity CHP-plant</t>
  </si>
  <si>
    <t>D 1.1 Example NOME</t>
  </si>
  <si>
    <t>(Status: 19.12.24)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</si>
</sst>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"/>
    <numFmt numFmtId="167" formatCode="0\ &quot;t/a&quot;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1717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93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3" fillId="0" borderId="0" xfId="0" applyFont="1"/>
    <xf numFmtId="0" fontId="0" fillId="3" borderId="0" xfId="0" applyFill="1"/>
    <xf numFmtId="164" fontId="0" fillId="3" borderId="0" xfId="0" applyNumberFormat="1" applyFill="1"/>
    <xf numFmtId="9" fontId="0" fillId="3" borderId="0" xfId="1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1" fontId="0" fillId="3" borderId="0" xfId="0" applyNumberFormat="1" applyFill="1"/>
    <xf numFmtId="1" fontId="3" fillId="2" borderId="0" xfId="0" applyNumberFormat="1" applyFont="1" applyFill="1"/>
    <xf numFmtId="0" fontId="3" fillId="2" borderId="0" xfId="0" applyFont="1" applyFill="1"/>
    <xf numFmtId="9" fontId="2" fillId="3" borderId="0" xfId="1" applyFont="1" applyFill="1"/>
    <xf numFmtId="0" fontId="0" fillId="2" borderId="0" xfId="0" applyFill="1"/>
    <xf numFmtId="1" fontId="2" fillId="2" borderId="0" xfId="0" applyNumberFormat="1" applyFont="1" applyFill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1" applyFont="1" applyFill="1" applyBorder="1"/>
    <xf numFmtId="2" fontId="3" fillId="2" borderId="0" xfId="0" applyNumberFormat="1" applyFont="1" applyFill="1"/>
    <xf numFmtId="9" fontId="0" fillId="2" borderId="0" xfId="1" applyFont="1" applyFill="1"/>
    <xf numFmtId="0" fontId="2" fillId="3" borderId="1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9" fontId="3" fillId="2" borderId="1" xfId="1" applyFont="1" applyFill="1" applyBorder="1"/>
    <xf numFmtId="166" fontId="3" fillId="2" borderId="0" xfId="0" applyNumberFormat="1" applyFont="1" applyFill="1"/>
    <xf numFmtId="166" fontId="0" fillId="3" borderId="0" xfId="0" applyNumberFormat="1" applyFill="1"/>
    <xf numFmtId="1" fontId="0" fillId="2" borderId="0" xfId="0" applyNumberFormat="1" applyFill="1"/>
    <xf numFmtId="2" fontId="3" fillId="3" borderId="0" xfId="0" applyNumberFormat="1" applyFont="1" applyFill="1"/>
    <xf numFmtId="0" fontId="2" fillId="2" borderId="1" xfId="0" applyFont="1" applyFill="1" applyBorder="1"/>
    <xf numFmtId="0" fontId="0" fillId="2" borderId="1" xfId="0" applyFill="1" applyBorder="1"/>
    <xf numFmtId="2" fontId="2" fillId="3" borderId="0" xfId="0" applyNumberFormat="1" applyFont="1" applyFill="1"/>
    <xf numFmtId="165" fontId="3" fillId="3" borderId="0" xfId="1" applyNumberFormat="1" applyFont="1" applyFill="1"/>
    <xf numFmtId="0" fontId="2" fillId="3" borderId="0" xfId="0" applyFont="1" applyFill="1"/>
    <xf numFmtId="166" fontId="3" fillId="3" borderId="0" xfId="0" applyNumberFormat="1" applyFont="1" applyFill="1"/>
    <xf numFmtId="9" fontId="2" fillId="3" borderId="1" xfId="1" applyFont="1" applyFill="1" applyBorder="1"/>
    <xf numFmtId="2" fontId="0" fillId="2" borderId="0" xfId="0" applyNumberFormat="1" applyFill="1"/>
    <xf numFmtId="0" fontId="9" fillId="3" borderId="1" xfId="0" applyFont="1" applyFill="1" applyBorder="1"/>
    <xf numFmtId="2" fontId="0" fillId="3" borderId="0" xfId="0" applyNumberFormat="1" applyFill="1"/>
    <xf numFmtId="1" fontId="2" fillId="2" borderId="1" xfId="0" applyNumberFormat="1" applyFont="1" applyFill="1" applyBorder="1"/>
    <xf numFmtId="1" fontId="2" fillId="3" borderId="1" xfId="0" applyNumberFormat="1" applyFont="1" applyFill="1" applyBorder="1"/>
    <xf numFmtId="1" fontId="10" fillId="3" borderId="0" xfId="0" applyNumberFormat="1" applyFont="1" applyFill="1"/>
    <xf numFmtId="166" fontId="2" fillId="3" borderId="0" xfId="0" applyNumberFormat="1" applyFont="1" applyFill="1"/>
    <xf numFmtId="2" fontId="0" fillId="3" borderId="1" xfId="0" applyNumberFormat="1" applyFill="1" applyBorder="1"/>
    <xf numFmtId="0" fontId="3" fillId="4" borderId="0" xfId="0" applyFont="1" applyFill="1"/>
    <xf numFmtId="0" fontId="0" fillId="4" borderId="0" xfId="0" applyFill="1"/>
    <xf numFmtId="9" fontId="2" fillId="4" borderId="0" xfId="1" applyFont="1" applyFill="1"/>
    <xf numFmtId="0" fontId="2" fillId="4" borderId="1" xfId="0" applyFont="1" applyFill="1" applyBorder="1"/>
    <xf numFmtId="0" fontId="0" fillId="4" borderId="1" xfId="0" applyFill="1" applyBorder="1"/>
    <xf numFmtId="1" fontId="0" fillId="4" borderId="0" xfId="0" applyNumberFormat="1" applyFill="1"/>
    <xf numFmtId="166" fontId="0" fillId="4" borderId="0" xfId="0" applyNumberFormat="1" applyFill="1"/>
    <xf numFmtId="0" fontId="3" fillId="5" borderId="0" xfId="0" applyFont="1" applyFill="1"/>
    <xf numFmtId="0" fontId="0" fillId="5" borderId="0" xfId="0" applyFill="1"/>
    <xf numFmtId="165" fontId="2" fillId="5" borderId="0" xfId="1" applyNumberFormat="1" applyFont="1" applyFill="1"/>
    <xf numFmtId="9" fontId="2" fillId="5" borderId="0" xfId="1" applyFont="1" applyFill="1"/>
    <xf numFmtId="0" fontId="2" fillId="5" borderId="0" xfId="0" applyFont="1" applyFill="1"/>
    <xf numFmtId="9" fontId="2" fillId="5" borderId="1" xfId="1" applyFont="1" applyFill="1" applyBorder="1"/>
    <xf numFmtId="0" fontId="0" fillId="5" borderId="1" xfId="0" applyFill="1" applyBorder="1"/>
    <xf numFmtId="166" fontId="0" fillId="5" borderId="0" xfId="0" applyNumberFormat="1" applyFill="1"/>
    <xf numFmtId="1" fontId="0" fillId="5" borderId="0" xfId="0" applyNumberFormat="1" applyFill="1"/>
    <xf numFmtId="0" fontId="0" fillId="6" borderId="0" xfId="0" applyFill="1"/>
    <xf numFmtId="0" fontId="5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2" fillId="6" borderId="0" xfId="0" applyFont="1" applyFill="1"/>
    <xf numFmtId="1" fontId="0" fillId="6" borderId="0" xfId="0" applyNumberFormat="1" applyFill="1"/>
    <xf numFmtId="9" fontId="0" fillId="6" borderId="0" xfId="1" applyFont="1" applyFill="1"/>
    <xf numFmtId="1" fontId="2" fillId="6" borderId="0" xfId="0" applyNumberFormat="1" applyFont="1" applyFill="1"/>
    <xf numFmtId="1" fontId="3" fillId="6" borderId="0" xfId="0" applyNumberFormat="1" applyFont="1" applyFill="1"/>
    <xf numFmtId="0" fontId="7" fillId="6" borderId="0" xfId="2" applyFont="1" applyFill="1" applyAlignment="1">
      <alignment horizontal="right"/>
    </xf>
    <xf numFmtId="0" fontId="8" fillId="6" borderId="0" xfId="2" applyFont="1" applyFill="1"/>
    <xf numFmtId="0" fontId="1" fillId="6" borderId="0" xfId="0" applyFont="1" applyFill="1"/>
    <xf numFmtId="0" fontId="0" fillId="6" borderId="1" xfId="0" applyFill="1" applyBorder="1"/>
    <xf numFmtId="166" fontId="0" fillId="6" borderId="0" xfId="0" applyNumberFormat="1" applyFill="1"/>
    <xf numFmtId="9" fontId="0" fillId="6" borderId="0" xfId="1" applyFont="1" applyFill="1" applyBorder="1"/>
    <xf numFmtId="9" fontId="0" fillId="6" borderId="0" xfId="0" applyNumberFormat="1" applyFill="1"/>
    <xf numFmtId="2" fontId="0" fillId="6" borderId="0" xfId="0" applyNumberFormat="1" applyFill="1"/>
    <xf numFmtId="167" fontId="0" fillId="6" borderId="0" xfId="0" applyNumberFormat="1" applyFill="1"/>
    <xf numFmtId="166" fontId="2" fillId="6" borderId="0" xfId="0" applyNumberFormat="1" applyFont="1" applyFill="1"/>
    <xf numFmtId="166" fontId="10" fillId="6" borderId="0" xfId="0" applyNumberFormat="1" applyFont="1" applyFill="1" applyAlignment="1">
      <alignment horizontal="right"/>
    </xf>
    <xf numFmtId="9" fontId="2" fillId="6" borderId="0" xfId="1" applyFont="1" applyFill="1" applyBorder="1"/>
    <xf numFmtId="1" fontId="10" fillId="6" borderId="0" xfId="0" applyNumberFormat="1" applyFont="1" applyFill="1" applyAlignment="1">
      <alignment horizontal="right"/>
    </xf>
    <xf numFmtId="165" fontId="2" fillId="6" borderId="0" xfId="1" applyNumberFormat="1" applyFont="1" applyFill="1"/>
    <xf numFmtId="9" fontId="0" fillId="6" borderId="0" xfId="1" applyFont="1" applyFill="1" applyBorder="1" applyAlignment="1">
      <alignment horizontal="center"/>
    </xf>
    <xf numFmtId="9" fontId="0" fillId="6" borderId="0" xfId="1" applyFont="1" applyFill="1" applyBorder="1" applyAlignment="1"/>
    <xf numFmtId="167" fontId="0" fillId="6" borderId="0" xfId="0" applyNumberFormat="1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6" borderId="0" xfId="0" applyFont="1" applyFill="1"/>
    <xf numFmtId="0" fontId="12" fillId="6" borderId="0" xfId="0" applyFont="1" applyFill="1"/>
    <xf numFmtId="9" fontId="3" fillId="6" borderId="0" xfId="0" applyNumberFormat="1" applyFont="1" applyFill="1"/>
    <xf numFmtId="0" fontId="0" fillId="6" borderId="0" xfId="0" applyFill="1" applyAlignment="1">
      <alignment horizontal="right"/>
    </xf>
    <xf numFmtId="0" fontId="2" fillId="6" borderId="0" xfId="0" applyFont="1" applyFill="1" applyAlignment="1">
      <alignment horizontal="right"/>
    </xf>
  </cellXfs>
  <cellStyles count="3">
    <cellStyle name="Normal" xfId="0" builtinId="0"/>
    <cellStyle name="Procent" xfId="1" builtinId="5"/>
    <cellStyle name="Standard 2" xfId="2" xr:uid="{B1B2D6AC-6E6D-4E52-94FD-BEEC33EE4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</xdr:colOff>
      <xdr:row>21</xdr:row>
      <xdr:rowOff>0</xdr:rowOff>
    </xdr:from>
    <xdr:to>
      <xdr:col>15</xdr:col>
      <xdr:colOff>1345406</xdr:colOff>
      <xdr:row>27</xdr:row>
      <xdr:rowOff>0</xdr:rowOff>
    </xdr:to>
    <xdr:cxnSp macro="">
      <xdr:nvCxnSpPr>
        <xdr:cNvPr id="2" name="Koppling: vinklad 1">
          <a:extLst>
            <a:ext uri="{FF2B5EF4-FFF2-40B4-BE49-F238E27FC236}">
              <a16:creationId xmlns:a16="http://schemas.microsoft.com/office/drawing/2014/main" id="{626787AA-F195-4EF9-82E7-8DC79DA92FBE}"/>
            </a:ext>
          </a:extLst>
        </xdr:cNvPr>
        <xdr:cNvCxnSpPr/>
      </xdr:nvCxnSpPr>
      <xdr:spPr>
        <a:xfrm flipV="1">
          <a:off x="3451859" y="6543675"/>
          <a:ext cx="14400372" cy="1143000"/>
        </a:xfrm>
        <a:prstGeom prst="bentConnector3">
          <a:avLst>
            <a:gd name="adj1" fmla="val 3181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</xdr:colOff>
      <xdr:row>16</xdr:row>
      <xdr:rowOff>8574</xdr:rowOff>
    </xdr:from>
    <xdr:to>
      <xdr:col>7</xdr:col>
      <xdr:colOff>11906</xdr:colOff>
      <xdr:row>21</xdr:row>
      <xdr:rowOff>0</xdr:rowOff>
    </xdr:to>
    <xdr:cxnSp macro="">
      <xdr:nvCxnSpPr>
        <xdr:cNvPr id="3" name="Koppling: vinklad 2">
          <a:extLst>
            <a:ext uri="{FF2B5EF4-FFF2-40B4-BE49-F238E27FC236}">
              <a16:creationId xmlns:a16="http://schemas.microsoft.com/office/drawing/2014/main" id="{1E4A3DE9-4C82-42A4-9696-8C254B3FD055}"/>
            </a:ext>
          </a:extLst>
        </xdr:cNvPr>
        <xdr:cNvCxnSpPr/>
      </xdr:nvCxnSpPr>
      <xdr:spPr>
        <a:xfrm>
          <a:off x="3451860" y="5599749"/>
          <a:ext cx="4570571" cy="943926"/>
        </a:xfrm>
        <a:prstGeom prst="bentConnector3">
          <a:avLst>
            <a:gd name="adj1" fmla="val 100198"/>
          </a:avLst>
        </a:prstGeom>
        <a:ln w="5715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47628</xdr:colOff>
      <xdr:row>21</xdr:row>
      <xdr:rowOff>107157</xdr:rowOff>
    </xdr:from>
    <xdr:to>
      <xdr:col>7</xdr:col>
      <xdr:colOff>23811</xdr:colOff>
      <xdr:row>65</xdr:row>
      <xdr:rowOff>178595</xdr:rowOff>
    </xdr:to>
    <xdr:cxnSp macro="">
      <xdr:nvCxnSpPr>
        <xdr:cNvPr id="4" name="Koppling: vinklad 3">
          <a:extLst>
            <a:ext uri="{FF2B5EF4-FFF2-40B4-BE49-F238E27FC236}">
              <a16:creationId xmlns:a16="http://schemas.microsoft.com/office/drawing/2014/main" id="{4E53FCE8-104F-4E9C-B0C0-D8EE1928B7A6}"/>
            </a:ext>
          </a:extLst>
        </xdr:cNvPr>
        <xdr:cNvCxnSpPr/>
      </xdr:nvCxnSpPr>
      <xdr:spPr>
        <a:xfrm rot="5400000" flipH="1" flipV="1">
          <a:off x="1538288" y="8608222"/>
          <a:ext cx="8453438" cy="4538658"/>
        </a:xfrm>
        <a:prstGeom prst="bentConnector3">
          <a:avLst>
            <a:gd name="adj1" fmla="val -442"/>
          </a:avLst>
        </a:prstGeom>
        <a:ln w="5715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1591151</xdr:colOff>
      <xdr:row>54</xdr:row>
      <xdr:rowOff>81643</xdr:rowOff>
    </xdr:from>
    <xdr:to>
      <xdr:col>7</xdr:col>
      <xdr:colOff>0</xdr:colOff>
      <xdr:row>54</xdr:row>
      <xdr:rowOff>87630</xdr:rowOff>
    </xdr:to>
    <xdr:cxnSp macro="">
      <xdr:nvCxnSpPr>
        <xdr:cNvPr id="5" name="Rak koppling 4">
          <a:extLst>
            <a:ext uri="{FF2B5EF4-FFF2-40B4-BE49-F238E27FC236}">
              <a16:creationId xmlns:a16="http://schemas.microsoft.com/office/drawing/2014/main" id="{2DBE2F90-86AC-4E9B-A697-F5F2850B1840}"/>
            </a:ext>
          </a:extLst>
        </xdr:cNvPr>
        <xdr:cNvCxnSpPr/>
      </xdr:nvCxnSpPr>
      <xdr:spPr>
        <a:xfrm flipV="1">
          <a:off x="3439001" y="12911818"/>
          <a:ext cx="4571524" cy="5987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163285</xdr:rowOff>
    </xdr:from>
    <xdr:to>
      <xdr:col>7</xdr:col>
      <xdr:colOff>27215</xdr:colOff>
      <xdr:row>39</xdr:row>
      <xdr:rowOff>8096</xdr:rowOff>
    </xdr:to>
    <xdr:cxnSp macro="">
      <xdr:nvCxnSpPr>
        <xdr:cNvPr id="6" name="Rak koppling 5">
          <a:extLst>
            <a:ext uri="{FF2B5EF4-FFF2-40B4-BE49-F238E27FC236}">
              <a16:creationId xmlns:a16="http://schemas.microsoft.com/office/drawing/2014/main" id="{CC85AA8B-35ED-4D30-A6C3-815FE3B0033E}"/>
            </a:ext>
          </a:extLst>
        </xdr:cNvPr>
        <xdr:cNvCxnSpPr/>
      </xdr:nvCxnSpPr>
      <xdr:spPr>
        <a:xfrm flipV="1">
          <a:off x="3448050" y="9945460"/>
          <a:ext cx="4589690" cy="35311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20</xdr:row>
      <xdr:rowOff>166687</xdr:rowOff>
    </xdr:from>
    <xdr:to>
      <xdr:col>20</xdr:col>
      <xdr:colOff>23813</xdr:colOff>
      <xdr:row>21</xdr:row>
      <xdr:rowOff>0</xdr:rowOff>
    </xdr:to>
    <xdr:cxnSp macro="">
      <xdr:nvCxnSpPr>
        <xdr:cNvPr id="7" name="Rak koppling 6">
          <a:extLst>
            <a:ext uri="{FF2B5EF4-FFF2-40B4-BE49-F238E27FC236}">
              <a16:creationId xmlns:a16="http://schemas.microsoft.com/office/drawing/2014/main" id="{7DDCAA20-E194-42D4-B9B4-850DAF9232CB}"/>
            </a:ext>
          </a:extLst>
        </xdr:cNvPr>
        <xdr:cNvCxnSpPr/>
      </xdr:nvCxnSpPr>
      <xdr:spPr>
        <a:xfrm flipV="1">
          <a:off x="21907500" y="6519862"/>
          <a:ext cx="1233488" cy="23813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11906</xdr:colOff>
      <xdr:row>19</xdr:row>
      <xdr:rowOff>28575</xdr:rowOff>
    </xdr:from>
    <xdr:to>
      <xdr:col>24</xdr:col>
      <xdr:colOff>35719</xdr:colOff>
      <xdr:row>19</xdr:row>
      <xdr:rowOff>40481</xdr:rowOff>
    </xdr:to>
    <xdr:cxnSp macro="">
      <xdr:nvCxnSpPr>
        <xdr:cNvPr id="8" name="Rak koppling 7">
          <a:extLst>
            <a:ext uri="{FF2B5EF4-FFF2-40B4-BE49-F238E27FC236}">
              <a16:creationId xmlns:a16="http://schemas.microsoft.com/office/drawing/2014/main" id="{62734E2A-D1FD-4EC1-8EFB-159496023389}"/>
            </a:ext>
          </a:extLst>
        </xdr:cNvPr>
        <xdr:cNvCxnSpPr/>
      </xdr:nvCxnSpPr>
      <xdr:spPr>
        <a:xfrm flipV="1">
          <a:off x="26415206" y="6191250"/>
          <a:ext cx="1319213" cy="11906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981075</xdr:colOff>
      <xdr:row>27</xdr:row>
      <xdr:rowOff>38100</xdr:rowOff>
    </xdr:from>
    <xdr:to>
      <xdr:col>21</xdr:col>
      <xdr:colOff>988219</xdr:colOff>
      <xdr:row>30</xdr:row>
      <xdr:rowOff>16193</xdr:rowOff>
    </xdr:to>
    <xdr:cxnSp macro="">
      <xdr:nvCxnSpPr>
        <xdr:cNvPr id="12" name="Rak koppling 11">
          <a:extLst>
            <a:ext uri="{FF2B5EF4-FFF2-40B4-BE49-F238E27FC236}">
              <a16:creationId xmlns:a16="http://schemas.microsoft.com/office/drawing/2014/main" id="{1E4C9A0E-4F99-4F35-88A2-B1FE5793914B}"/>
            </a:ext>
          </a:extLst>
        </xdr:cNvPr>
        <xdr:cNvCxnSpPr/>
      </xdr:nvCxnSpPr>
      <xdr:spPr>
        <a:xfrm>
          <a:off x="24707850" y="7724775"/>
          <a:ext cx="7144" cy="549593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1050132</xdr:colOff>
      <xdr:row>24</xdr:row>
      <xdr:rowOff>190499</xdr:rowOff>
    </xdr:from>
    <xdr:to>
      <xdr:col>17</xdr:col>
      <xdr:colOff>1052512</xdr:colOff>
      <xdr:row>30</xdr:row>
      <xdr:rowOff>23813</xdr:rowOff>
    </xdr:to>
    <xdr:cxnSp macro="">
      <xdr:nvCxnSpPr>
        <xdr:cNvPr id="13" name="Rak koppling 12">
          <a:extLst>
            <a:ext uri="{FF2B5EF4-FFF2-40B4-BE49-F238E27FC236}">
              <a16:creationId xmlns:a16="http://schemas.microsoft.com/office/drawing/2014/main" id="{C663ED13-5CB8-4545-823E-1B39B529022B}"/>
            </a:ext>
          </a:extLst>
        </xdr:cNvPr>
        <xdr:cNvCxnSpPr/>
      </xdr:nvCxnSpPr>
      <xdr:spPr>
        <a:xfrm>
          <a:off x="19519107" y="7305674"/>
          <a:ext cx="2380" cy="976314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2667476</xdr:colOff>
      <xdr:row>23</xdr:row>
      <xdr:rowOff>16191</xdr:rowOff>
    </xdr:from>
    <xdr:to>
      <xdr:col>23</xdr:col>
      <xdr:colOff>676275</xdr:colOff>
      <xdr:row>29</xdr:row>
      <xdr:rowOff>161925</xdr:rowOff>
    </xdr:to>
    <xdr:cxnSp macro="">
      <xdr:nvCxnSpPr>
        <xdr:cNvPr id="16" name="Koppling: vinklad 15">
          <a:extLst>
            <a:ext uri="{FF2B5EF4-FFF2-40B4-BE49-F238E27FC236}">
              <a16:creationId xmlns:a16="http://schemas.microsoft.com/office/drawing/2014/main" id="{0B06787F-D150-46B9-8846-7BDB0B77BF19}"/>
            </a:ext>
          </a:extLst>
        </xdr:cNvPr>
        <xdr:cNvCxnSpPr/>
      </xdr:nvCxnSpPr>
      <xdr:spPr>
        <a:xfrm>
          <a:off x="26394251" y="6940866"/>
          <a:ext cx="1294924" cy="1288734"/>
        </a:xfrm>
        <a:prstGeom prst="bentConnector3">
          <a:avLst>
            <a:gd name="adj1" fmla="val 5000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84</xdr:row>
      <xdr:rowOff>19050</xdr:rowOff>
    </xdr:from>
    <xdr:to>
      <xdr:col>17</xdr:col>
      <xdr:colOff>1152525</xdr:colOff>
      <xdr:row>88</xdr:row>
      <xdr:rowOff>38100</xdr:rowOff>
    </xdr:to>
    <xdr:cxnSp macro="">
      <xdr:nvCxnSpPr>
        <xdr:cNvPr id="17" name="Koppling: vinklad 16">
          <a:extLst>
            <a:ext uri="{FF2B5EF4-FFF2-40B4-BE49-F238E27FC236}">
              <a16:creationId xmlns:a16="http://schemas.microsoft.com/office/drawing/2014/main" id="{A8C5B478-E604-459F-A90A-21D4A3A199D4}"/>
            </a:ext>
          </a:extLst>
        </xdr:cNvPr>
        <xdr:cNvCxnSpPr/>
      </xdr:nvCxnSpPr>
      <xdr:spPr>
        <a:xfrm flipV="1">
          <a:off x="3457575" y="18564225"/>
          <a:ext cx="16163925" cy="781050"/>
        </a:xfrm>
        <a:prstGeom prst="bentConnector3">
          <a:avLst>
            <a:gd name="adj1" fmla="val 10000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819150</xdr:colOff>
      <xdr:row>83</xdr:row>
      <xdr:rowOff>180975</xdr:rowOff>
    </xdr:from>
    <xdr:to>
      <xdr:col>6</xdr:col>
      <xdr:colOff>828675</xdr:colOff>
      <xdr:row>88</xdr:row>
      <xdr:rowOff>38100</xdr:rowOff>
    </xdr:to>
    <xdr:cxnSp macro="">
      <xdr:nvCxnSpPr>
        <xdr:cNvPr id="18" name="Rak koppling 17">
          <a:extLst>
            <a:ext uri="{FF2B5EF4-FFF2-40B4-BE49-F238E27FC236}">
              <a16:creationId xmlns:a16="http://schemas.microsoft.com/office/drawing/2014/main" id="{820184B7-EB5B-4A00-8974-2313FC40C71E}"/>
            </a:ext>
          </a:extLst>
        </xdr:cNvPr>
        <xdr:cNvCxnSpPr/>
      </xdr:nvCxnSpPr>
      <xdr:spPr>
        <a:xfrm flipV="1">
          <a:off x="7991475" y="18535650"/>
          <a:ext cx="9525" cy="809625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3429000</xdr:colOff>
      <xdr:row>77</xdr:row>
      <xdr:rowOff>176892</xdr:rowOff>
    </xdr:from>
    <xdr:to>
      <xdr:col>28</xdr:col>
      <xdr:colOff>40821</xdr:colOff>
      <xdr:row>78</xdr:row>
      <xdr:rowOff>10026</xdr:rowOff>
    </xdr:to>
    <xdr:cxnSp macro="">
      <xdr:nvCxnSpPr>
        <xdr:cNvPr id="20" name="Rak koppling 19">
          <a:extLst>
            <a:ext uri="{FF2B5EF4-FFF2-40B4-BE49-F238E27FC236}">
              <a16:creationId xmlns:a16="http://schemas.microsoft.com/office/drawing/2014/main" id="{A845C8A8-1E70-40A4-9943-2F121E17C390}"/>
            </a:ext>
          </a:extLst>
        </xdr:cNvPr>
        <xdr:cNvCxnSpPr/>
      </xdr:nvCxnSpPr>
      <xdr:spPr>
        <a:xfrm flipV="1">
          <a:off x="21907500" y="15055945"/>
          <a:ext cx="11661321" cy="23634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26</xdr:row>
      <xdr:rowOff>183091</xdr:rowOff>
    </xdr:from>
    <xdr:to>
      <xdr:col>24</xdr:col>
      <xdr:colOff>9049</xdr:colOff>
      <xdr:row>33</xdr:row>
      <xdr:rowOff>138325</xdr:rowOff>
    </xdr:to>
    <xdr:cxnSp macro="">
      <xdr:nvCxnSpPr>
        <xdr:cNvPr id="22" name="Koppling: vinklad 21">
          <a:extLst>
            <a:ext uri="{FF2B5EF4-FFF2-40B4-BE49-F238E27FC236}">
              <a16:creationId xmlns:a16="http://schemas.microsoft.com/office/drawing/2014/main" id="{8437FF6B-9AE4-4C40-B8A3-A93E821C0D76}"/>
            </a:ext>
          </a:extLst>
        </xdr:cNvPr>
        <xdr:cNvCxnSpPr/>
      </xdr:nvCxnSpPr>
      <xdr:spPr>
        <a:xfrm>
          <a:off x="26412825" y="7679266"/>
          <a:ext cx="1294924" cy="1288734"/>
        </a:xfrm>
        <a:prstGeom prst="bentConnector3">
          <a:avLst>
            <a:gd name="adj1" fmla="val 24022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25</xdr:row>
      <xdr:rowOff>84666</xdr:rowOff>
    </xdr:from>
    <xdr:to>
      <xdr:col>20</xdr:col>
      <xdr:colOff>10584</xdr:colOff>
      <xdr:row>31</xdr:row>
      <xdr:rowOff>21166</xdr:rowOff>
    </xdr:to>
    <xdr:cxnSp macro="">
      <xdr:nvCxnSpPr>
        <xdr:cNvPr id="24" name="Koppling: vinklad 23">
          <a:extLst>
            <a:ext uri="{FF2B5EF4-FFF2-40B4-BE49-F238E27FC236}">
              <a16:creationId xmlns:a16="http://schemas.microsoft.com/office/drawing/2014/main" id="{2E0FEA9D-9594-4263-A29D-DB5830EF3448}"/>
            </a:ext>
          </a:extLst>
        </xdr:cNvPr>
        <xdr:cNvCxnSpPr/>
      </xdr:nvCxnSpPr>
      <xdr:spPr>
        <a:xfrm flipV="1">
          <a:off x="21907500" y="7390341"/>
          <a:ext cx="1220259" cy="1079500"/>
        </a:xfrm>
        <a:prstGeom prst="bentConnector3">
          <a:avLst>
            <a:gd name="adj1" fmla="val 5000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1068917</xdr:colOff>
      <xdr:row>35</xdr:row>
      <xdr:rowOff>10026</xdr:rowOff>
    </xdr:from>
    <xdr:to>
      <xdr:col>17</xdr:col>
      <xdr:colOff>1082842</xdr:colOff>
      <xdr:row>45</xdr:row>
      <xdr:rowOff>21166</xdr:rowOff>
    </xdr:to>
    <xdr:cxnSp macro="">
      <xdr:nvCxnSpPr>
        <xdr:cNvPr id="25" name="Rak koppling 24">
          <a:extLst>
            <a:ext uri="{FF2B5EF4-FFF2-40B4-BE49-F238E27FC236}">
              <a16:creationId xmlns:a16="http://schemas.microsoft.com/office/drawing/2014/main" id="{6A928FEC-641C-4917-9232-0012AA7F2DD4}"/>
            </a:ext>
          </a:extLst>
        </xdr:cNvPr>
        <xdr:cNvCxnSpPr/>
      </xdr:nvCxnSpPr>
      <xdr:spPr>
        <a:xfrm flipH="1">
          <a:off x="19547417" y="6888079"/>
          <a:ext cx="13925" cy="1916140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10242</xdr:colOff>
      <xdr:row>66</xdr:row>
      <xdr:rowOff>40968</xdr:rowOff>
    </xdr:from>
    <xdr:to>
      <xdr:col>7</xdr:col>
      <xdr:colOff>11908</xdr:colOff>
      <xdr:row>72</xdr:row>
      <xdr:rowOff>-1</xdr:rowOff>
    </xdr:to>
    <xdr:cxnSp macro="">
      <xdr:nvCxnSpPr>
        <xdr:cNvPr id="26" name="Koppling: vinklad 25">
          <a:extLst>
            <a:ext uri="{FF2B5EF4-FFF2-40B4-BE49-F238E27FC236}">
              <a16:creationId xmlns:a16="http://schemas.microsoft.com/office/drawing/2014/main" id="{4C84C5B2-F0D6-4254-BAAE-AD7E24B415B6}"/>
            </a:ext>
          </a:extLst>
        </xdr:cNvPr>
        <xdr:cNvCxnSpPr/>
      </xdr:nvCxnSpPr>
      <xdr:spPr>
        <a:xfrm rot="16200000" flipV="1">
          <a:off x="7467204" y="13641425"/>
          <a:ext cx="1126612" cy="1666"/>
        </a:xfrm>
        <a:prstGeom prst="bentConnector3">
          <a:avLst>
            <a:gd name="adj1" fmla="val 5000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45</xdr:row>
      <xdr:rowOff>19050</xdr:rowOff>
    </xdr:from>
    <xdr:to>
      <xdr:col>27</xdr:col>
      <xdr:colOff>800100</xdr:colOff>
      <xdr:row>45</xdr:row>
      <xdr:rowOff>23813</xdr:rowOff>
    </xdr:to>
    <xdr:cxnSp macro="">
      <xdr:nvCxnSpPr>
        <xdr:cNvPr id="29" name="Rak koppling 28">
          <a:extLst>
            <a:ext uri="{FF2B5EF4-FFF2-40B4-BE49-F238E27FC236}">
              <a16:creationId xmlns:a16="http://schemas.microsoft.com/office/drawing/2014/main" id="{3FD335BB-24C5-4499-9885-407F71A72520}"/>
            </a:ext>
          </a:extLst>
        </xdr:cNvPr>
        <xdr:cNvCxnSpPr/>
      </xdr:nvCxnSpPr>
      <xdr:spPr>
        <a:xfrm flipV="1">
          <a:off x="31765875" y="11134725"/>
          <a:ext cx="1733550" cy="4763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3288130</xdr:colOff>
      <xdr:row>48</xdr:row>
      <xdr:rowOff>59657</xdr:rowOff>
    </xdr:from>
    <xdr:to>
      <xdr:col>27</xdr:col>
      <xdr:colOff>780048</xdr:colOff>
      <xdr:row>48</xdr:row>
      <xdr:rowOff>73945</xdr:rowOff>
    </xdr:to>
    <xdr:cxnSp macro="">
      <xdr:nvCxnSpPr>
        <xdr:cNvPr id="30" name="Rak koppling 29">
          <a:extLst>
            <a:ext uri="{FF2B5EF4-FFF2-40B4-BE49-F238E27FC236}">
              <a16:creationId xmlns:a16="http://schemas.microsoft.com/office/drawing/2014/main" id="{1631A023-45B0-4F3B-BB62-C8ECB49B1502}"/>
            </a:ext>
          </a:extLst>
        </xdr:cNvPr>
        <xdr:cNvCxnSpPr/>
      </xdr:nvCxnSpPr>
      <xdr:spPr>
        <a:xfrm flipV="1">
          <a:off x="31752841" y="9414210"/>
          <a:ext cx="1743075" cy="14288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51</xdr:row>
      <xdr:rowOff>15240</xdr:rowOff>
    </xdr:from>
    <xdr:to>
      <xdr:col>27</xdr:col>
      <xdr:colOff>817721</xdr:colOff>
      <xdr:row>59</xdr:row>
      <xdr:rowOff>0</xdr:rowOff>
    </xdr:to>
    <xdr:cxnSp macro="">
      <xdr:nvCxnSpPr>
        <xdr:cNvPr id="31" name="Koppling: vinklad 30">
          <a:extLst>
            <a:ext uri="{FF2B5EF4-FFF2-40B4-BE49-F238E27FC236}">
              <a16:creationId xmlns:a16="http://schemas.microsoft.com/office/drawing/2014/main" id="{2B8DBA04-FEB4-46CC-8195-508E7087450C}"/>
            </a:ext>
          </a:extLst>
        </xdr:cNvPr>
        <xdr:cNvCxnSpPr/>
      </xdr:nvCxnSpPr>
      <xdr:spPr>
        <a:xfrm>
          <a:off x="31746825" y="12273915"/>
          <a:ext cx="1760696" cy="1508760"/>
        </a:xfrm>
        <a:prstGeom prst="bentConnector3">
          <a:avLst>
            <a:gd name="adj1" fmla="val 5000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55721</xdr:colOff>
      <xdr:row>42</xdr:row>
      <xdr:rowOff>19525</xdr:rowOff>
    </xdr:from>
    <xdr:to>
      <xdr:col>27</xdr:col>
      <xdr:colOff>805340</xdr:colOff>
      <xdr:row>42</xdr:row>
      <xdr:rowOff>19525</xdr:rowOff>
    </xdr:to>
    <xdr:cxnSp macro="">
      <xdr:nvCxnSpPr>
        <xdr:cNvPr id="32" name="Rak koppling 31">
          <a:extLst>
            <a:ext uri="{FF2B5EF4-FFF2-40B4-BE49-F238E27FC236}">
              <a16:creationId xmlns:a16="http://schemas.microsoft.com/office/drawing/2014/main" id="{D0A1E222-00D1-4663-95D8-275FE2D32E5F}"/>
            </a:ext>
          </a:extLst>
        </xdr:cNvPr>
        <xdr:cNvCxnSpPr/>
      </xdr:nvCxnSpPr>
      <xdr:spPr>
        <a:xfrm flipV="1">
          <a:off x="32755046" y="10563700"/>
          <a:ext cx="749619" cy="0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60</xdr:row>
      <xdr:rowOff>174308</xdr:rowOff>
    </xdr:from>
    <xdr:to>
      <xdr:col>28</xdr:col>
      <xdr:colOff>15718</xdr:colOff>
      <xdr:row>60</xdr:row>
      <xdr:rowOff>178593</xdr:rowOff>
    </xdr:to>
    <xdr:cxnSp macro="">
      <xdr:nvCxnSpPr>
        <xdr:cNvPr id="33" name="Koppling: vinklad 32">
          <a:extLst>
            <a:ext uri="{FF2B5EF4-FFF2-40B4-BE49-F238E27FC236}">
              <a16:creationId xmlns:a16="http://schemas.microsoft.com/office/drawing/2014/main" id="{2F5BC738-0716-4DD3-B4F5-A9D728F102EC}"/>
            </a:ext>
          </a:extLst>
        </xdr:cNvPr>
        <xdr:cNvCxnSpPr/>
      </xdr:nvCxnSpPr>
      <xdr:spPr>
        <a:xfrm rot="10800000" flipV="1">
          <a:off x="8078704" y="11814861"/>
          <a:ext cx="25465014" cy="4285"/>
        </a:xfrm>
        <a:prstGeom prst="bentConnector3">
          <a:avLst>
            <a:gd name="adj1" fmla="val 50000"/>
          </a:avLst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27622</xdr:colOff>
      <xdr:row>29</xdr:row>
      <xdr:rowOff>174784</xdr:rowOff>
    </xdr:from>
    <xdr:to>
      <xdr:col>27</xdr:col>
      <xdr:colOff>802957</xdr:colOff>
      <xdr:row>30</xdr:row>
      <xdr:rowOff>4763</xdr:rowOff>
    </xdr:to>
    <xdr:cxnSp macro="">
      <xdr:nvCxnSpPr>
        <xdr:cNvPr id="34" name="Rak koppling 33">
          <a:extLst>
            <a:ext uri="{FF2B5EF4-FFF2-40B4-BE49-F238E27FC236}">
              <a16:creationId xmlns:a16="http://schemas.microsoft.com/office/drawing/2014/main" id="{0AC2660F-51AE-46DA-A9AF-4FC7BFC82161}"/>
            </a:ext>
          </a:extLst>
        </xdr:cNvPr>
        <xdr:cNvCxnSpPr/>
      </xdr:nvCxnSpPr>
      <xdr:spPr>
        <a:xfrm flipV="1">
          <a:off x="31774447" y="8242459"/>
          <a:ext cx="1727835" cy="20479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2109</xdr:colOff>
      <xdr:row>10</xdr:row>
      <xdr:rowOff>23813</xdr:rowOff>
    </xdr:from>
    <xdr:to>
      <xdr:col>27</xdr:col>
      <xdr:colOff>814728</xdr:colOff>
      <xdr:row>10</xdr:row>
      <xdr:rowOff>35719</xdr:rowOff>
    </xdr:to>
    <xdr:cxnSp macro="">
      <xdr:nvCxnSpPr>
        <xdr:cNvPr id="35" name="Rak koppling 34">
          <a:extLst>
            <a:ext uri="{FF2B5EF4-FFF2-40B4-BE49-F238E27FC236}">
              <a16:creationId xmlns:a16="http://schemas.microsoft.com/office/drawing/2014/main" id="{F322136F-88CC-4AD6-9D6E-E6B831F4647E}"/>
            </a:ext>
          </a:extLst>
        </xdr:cNvPr>
        <xdr:cNvCxnSpPr/>
      </xdr:nvCxnSpPr>
      <xdr:spPr>
        <a:xfrm flipV="1">
          <a:off x="31748934" y="4471988"/>
          <a:ext cx="1755594" cy="11906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812619</xdr:colOff>
      <xdr:row>22</xdr:row>
      <xdr:rowOff>11906</xdr:rowOff>
    </xdr:to>
    <xdr:cxnSp macro="">
      <xdr:nvCxnSpPr>
        <xdr:cNvPr id="40" name="Rak koppling 39">
          <a:extLst>
            <a:ext uri="{FF2B5EF4-FFF2-40B4-BE49-F238E27FC236}">
              <a16:creationId xmlns:a16="http://schemas.microsoft.com/office/drawing/2014/main" id="{4A92A49B-76C5-4987-8BC5-42BAB844BCE0}"/>
            </a:ext>
          </a:extLst>
        </xdr:cNvPr>
        <xdr:cNvCxnSpPr/>
      </xdr:nvCxnSpPr>
      <xdr:spPr>
        <a:xfrm flipV="1">
          <a:off x="31746825" y="6734175"/>
          <a:ext cx="1765119" cy="11906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3429000</xdr:colOff>
      <xdr:row>47</xdr:row>
      <xdr:rowOff>10026</xdr:rowOff>
    </xdr:from>
    <xdr:to>
      <xdr:col>24</xdr:col>
      <xdr:colOff>10026</xdr:colOff>
      <xdr:row>47</xdr:row>
      <xdr:rowOff>20052</xdr:rowOff>
    </xdr:to>
    <xdr:cxnSp macro="">
      <xdr:nvCxnSpPr>
        <xdr:cNvPr id="52" name="Rak koppling 51">
          <a:extLst>
            <a:ext uri="{FF2B5EF4-FFF2-40B4-BE49-F238E27FC236}">
              <a16:creationId xmlns:a16="http://schemas.microsoft.com/office/drawing/2014/main" id="{2CBF531A-135B-49A7-821F-B416AAE00C98}"/>
            </a:ext>
          </a:extLst>
        </xdr:cNvPr>
        <xdr:cNvCxnSpPr/>
      </xdr:nvCxnSpPr>
      <xdr:spPr>
        <a:xfrm>
          <a:off x="21907500" y="9174079"/>
          <a:ext cx="5815263" cy="10026"/>
        </a:xfrm>
        <a:prstGeom prst="line">
          <a:avLst/>
        </a:prstGeom>
        <a:ln w="57150">
          <a:solidFill>
            <a:schemeClr val="accent4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30726</xdr:colOff>
      <xdr:row>3</xdr:row>
      <xdr:rowOff>51209</xdr:rowOff>
    </xdr:from>
    <xdr:to>
      <xdr:col>0</xdr:col>
      <xdr:colOff>1069932</xdr:colOff>
      <xdr:row>9</xdr:row>
      <xdr:rowOff>123221</xdr:rowOff>
    </xdr:to>
    <xdr:pic>
      <xdr:nvPicPr>
        <xdr:cNvPr id="63" name="Bildobjekt 62">
          <a:extLst>
            <a:ext uri="{FF2B5EF4-FFF2-40B4-BE49-F238E27FC236}">
              <a16:creationId xmlns:a16="http://schemas.microsoft.com/office/drawing/2014/main" id="{0ED3CFF3-ED4B-C8F5-234C-BAD9C6F1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6" y="781894"/>
          <a:ext cx="1039206" cy="1256113"/>
        </a:xfrm>
        <a:prstGeom prst="rect">
          <a:avLst/>
        </a:prstGeom>
      </xdr:spPr>
    </xdr:pic>
    <xdr:clientData/>
  </xdr:twoCellAnchor>
  <xdr:twoCellAnchor editAs="oneCell">
    <xdr:from>
      <xdr:col>5</xdr:col>
      <xdr:colOff>1209354</xdr:colOff>
      <xdr:row>0</xdr:row>
      <xdr:rowOff>10703</xdr:rowOff>
    </xdr:from>
    <xdr:to>
      <xdr:col>7</xdr:col>
      <xdr:colOff>481601</xdr:colOff>
      <xdr:row>3</xdr:row>
      <xdr:rowOff>168036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202C4F59-7563-9E22-EF72-AE56F9807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264" y="10703"/>
          <a:ext cx="2119045" cy="88508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.se\jti\jti\Arbetsmappar\Projekt\EN\SLF\PX92703%20HQ%20vall\ber&#228;kningar\maskiner\Maskinkostnader%20100603%20(Lars%20ber&#228;kning%20ver7%2023%20juli)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isecloud.sharepoint.com/Users/erfischer/Downloads/Biogaskalkyl%20(3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manställning"/>
      <sheetName val="Komm"/>
      <sheetName val="Faktorer"/>
      <sheetName val="1C självg hack"/>
      <sheetName val="1D bogs hack"/>
      <sheetName val="Strängl"/>
      <sheetName val="motsv tabell V1"/>
      <sheetName val="Blad1"/>
      <sheetName val="Frågor"/>
      <sheetName val="Bränsleförbr"/>
      <sheetName val="Blad2"/>
    </sheetNames>
    <sheetDataSet>
      <sheetData sheetId="0"/>
      <sheetData sheetId="1"/>
      <sheetData sheetId="2">
        <row r="7">
          <cell r="D7">
            <v>627</v>
          </cell>
        </row>
        <row r="8">
          <cell r="D8">
            <v>100</v>
          </cell>
        </row>
        <row r="9">
          <cell r="D9">
            <v>7</v>
          </cell>
        </row>
        <row r="10">
          <cell r="D10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manfattning"/>
      <sheetName val="Indata"/>
      <sheetName val="Substratförråd"/>
      <sheetName val="Massbalans"/>
      <sheetName val="Energi"/>
      <sheetName val="Flödesschema"/>
    </sheetNames>
    <sheetDataSet>
      <sheetData sheetId="0"/>
      <sheetData sheetId="1">
        <row r="3">
          <cell r="B3">
            <v>9.9700000000000006</v>
          </cell>
        </row>
        <row r="12">
          <cell r="B12">
            <v>0.12851079165498738</v>
          </cell>
        </row>
      </sheetData>
      <sheetData sheetId="2">
        <row r="5">
          <cell r="A5" t="str">
            <v>Avloppsslam</v>
          </cell>
        </row>
        <row r="6">
          <cell r="A6" t="str">
            <v>Avrens från spannmål</v>
          </cell>
        </row>
        <row r="7">
          <cell r="A7" t="str">
            <v>Blod nötreatur</v>
          </cell>
        </row>
        <row r="8">
          <cell r="A8" t="str">
            <v>Blod slaktsvin</v>
          </cell>
        </row>
        <row r="9">
          <cell r="A9" t="str">
            <v>Boss och agnar</v>
          </cell>
        </row>
        <row r="10">
          <cell r="A10" t="str">
            <v>Bröd</v>
          </cell>
        </row>
        <row r="11">
          <cell r="A11" t="str">
            <v>Citrusskal</v>
          </cell>
        </row>
        <row r="12">
          <cell r="A12" t="str">
            <v>Deg</v>
          </cell>
        </row>
        <row r="13">
          <cell r="A13" t="str">
            <v>Djupströ, får</v>
          </cell>
        </row>
        <row r="14">
          <cell r="A14" t="str">
            <v>Djupströ, nöt</v>
          </cell>
        </row>
        <row r="15">
          <cell r="A15" t="str">
            <v>Djurfett</v>
          </cell>
        </row>
        <row r="16">
          <cell r="A16" t="str">
            <v>Drank</v>
          </cell>
        </row>
        <row r="17">
          <cell r="A17" t="str">
            <v>Ensilage, helsädes</v>
          </cell>
        </row>
        <row r="18">
          <cell r="A18" t="str">
            <v>Fettavskiljarslam</v>
          </cell>
        </row>
        <row r="19">
          <cell r="A19" t="str">
            <v>Fiskrens</v>
          </cell>
        </row>
        <row r="20">
          <cell r="A20" t="str">
            <v>Fjädrar</v>
          </cell>
        </row>
        <row r="21">
          <cell r="A21" t="str">
            <v>Frityrfett</v>
          </cell>
        </row>
        <row r="22">
          <cell r="A22" t="str">
            <v>Frukt- och grönsaksavfall</v>
          </cell>
        </row>
        <row r="23">
          <cell r="A23" t="str">
            <v>Glycerol</v>
          </cell>
        </row>
        <row r="24">
          <cell r="A24" t="str">
            <v>Gränsmjölk</v>
          </cell>
        </row>
        <row r="25">
          <cell r="A25" t="str">
            <v>Halm</v>
          </cell>
        </row>
        <row r="26">
          <cell r="A26" t="str">
            <v>Hundmat, torrfoder</v>
          </cell>
        </row>
        <row r="27">
          <cell r="A27" t="str">
            <v>Hästgödsel</v>
          </cell>
        </row>
        <row r="28">
          <cell r="A28" t="str">
            <v>Hästgödsel med spån</v>
          </cell>
        </row>
        <row r="29">
          <cell r="A29" t="str">
            <v>Hästgödsel med torv</v>
          </cell>
        </row>
        <row r="30">
          <cell r="A30" t="str">
            <v>Hästgödsel med halmpellets</v>
          </cell>
        </row>
        <row r="31">
          <cell r="A31" t="str">
            <v>Hönsgödsel</v>
          </cell>
        </row>
        <row r="32">
          <cell r="A32" t="str">
            <v>Jordärtskocka</v>
          </cell>
        </row>
        <row r="33">
          <cell r="A33" t="str">
            <v>Kaffesump</v>
          </cell>
        </row>
        <row r="34">
          <cell r="A34" t="str">
            <v>Kletgödsel, svin</v>
          </cell>
        </row>
        <row r="35">
          <cell r="A35" t="str">
            <v>Källsorterat matavfall - Grossist/handel</v>
          </cell>
        </row>
        <row r="36">
          <cell r="A36" t="str">
            <v>Källsorterat matavfall - hushåll</v>
          </cell>
        </row>
        <row r="37">
          <cell r="A37" t="str">
            <v>Källsorterat matavfall - hushåll 1 - kvarnat &amp; spätt</v>
          </cell>
        </row>
        <row r="38">
          <cell r="A38" t="str">
            <v>Källsorterat matavfall - hushåll 2 - pressat &amp; spätt</v>
          </cell>
        </row>
        <row r="39">
          <cell r="A39" t="str">
            <v>Källsorterat matavfall - restauranger</v>
          </cell>
        </row>
        <row r="40">
          <cell r="A40" t="str">
            <v>Källsorterat matavfall - storkök</v>
          </cell>
        </row>
        <row r="41">
          <cell r="A41" t="str">
            <v>Majs</v>
          </cell>
        </row>
        <row r="42">
          <cell r="A42" t="str">
            <v>Melass</v>
          </cell>
        </row>
        <row r="43">
          <cell r="A43" t="str">
            <v>Minkgödsel</v>
          </cell>
        </row>
        <row r="44">
          <cell r="A44" t="str">
            <v>Musslor</v>
          </cell>
        </row>
        <row r="45">
          <cell r="A45" t="str">
            <v>Nötflytgödsel</v>
          </cell>
        </row>
        <row r="46">
          <cell r="A46" t="str">
            <v>Park/trädgårdsavfall</v>
          </cell>
        </row>
        <row r="47">
          <cell r="A47" t="str">
            <v>Potatis</v>
          </cell>
        </row>
        <row r="48">
          <cell r="A48" t="str">
            <v>Potatis-blast</v>
          </cell>
        </row>
        <row r="49">
          <cell r="A49" t="str">
            <v>Potatisgröt</v>
          </cell>
        </row>
        <row r="50">
          <cell r="A50" t="str">
            <v>Potatismjöl</v>
          </cell>
        </row>
        <row r="51">
          <cell r="A51" t="str">
            <v>Rapskaka</v>
          </cell>
        </row>
        <row r="52">
          <cell r="A52" t="str">
            <v>Returprodukt, mejeri</v>
          </cell>
        </row>
        <row r="53">
          <cell r="A53" t="str">
            <v>Slakteriavfall - mag/tarminnehåll</v>
          </cell>
        </row>
        <row r="54">
          <cell r="A54" t="str">
            <v>Slakteriavfall - mjukdelar</v>
          </cell>
        </row>
        <row r="55">
          <cell r="A55" t="str">
            <v>Slakteriavfall - slam från slakteriets reningsverk</v>
          </cell>
        </row>
        <row r="56">
          <cell r="A56" t="str">
            <v>Slakteriavfall - spillblod</v>
          </cell>
        </row>
        <row r="57">
          <cell r="A57" t="str">
            <v>Sockerbeta</v>
          </cell>
        </row>
        <row r="58">
          <cell r="A58" t="str">
            <v>Sockerbeta-blast</v>
          </cell>
        </row>
        <row r="59">
          <cell r="A59" t="str">
            <v>Spannmål</v>
          </cell>
        </row>
        <row r="60">
          <cell r="A60" t="str">
            <v>Svinflytgödsel</v>
          </cell>
        </row>
        <row r="61">
          <cell r="A61" t="str">
            <v>Svingödsel, fast</v>
          </cell>
        </row>
        <row r="62">
          <cell r="A62" t="str">
            <v>Tång/alger</v>
          </cell>
        </row>
        <row r="63">
          <cell r="A63" t="str">
            <v>Urin, svin</v>
          </cell>
        </row>
        <row r="64">
          <cell r="A64" t="str">
            <v>Vall</v>
          </cell>
        </row>
        <row r="65">
          <cell r="A65" t="str">
            <v>Vatten</v>
          </cell>
        </row>
        <row r="66">
          <cell r="A66" t="str">
            <v>Vete</v>
          </cell>
        </row>
        <row r="67">
          <cell r="A67" t="str">
            <v>Ägg</v>
          </cell>
        </row>
        <row r="68">
          <cell r="A68" t="str">
            <v>Äggmassa</v>
          </cell>
        </row>
        <row r="69">
          <cell r="A69" t="str">
            <v>Äggskal</v>
          </cell>
        </row>
        <row r="70">
          <cell r="A70" t="str">
            <v>Norskt matavfall</v>
          </cell>
        </row>
        <row r="71">
          <cell r="A71" t="str">
            <v>SLÖ bioslam</v>
          </cell>
        </row>
        <row r="72">
          <cell r="A72" t="str">
            <v>SLP annat presslam</v>
          </cell>
        </row>
        <row r="73">
          <cell r="A73" t="str">
            <v>SLF fiberslam</v>
          </cell>
        </row>
        <row r="74">
          <cell r="A74" t="str">
            <v>från livsmedelsindustrier BOSS</v>
          </cell>
        </row>
        <row r="75">
          <cell r="A75" t="str">
            <v>Källsorterat matavfall SRV BOSS</v>
          </cell>
        </row>
        <row r="76">
          <cell r="A76" t="str">
            <v>från sorteringen BOSS</v>
          </cell>
        </row>
        <row r="77">
          <cell r="A77" t="str">
            <v>Tysk Biotonne</v>
          </cell>
        </row>
        <row r="78">
          <cell r="A78" t="str">
            <v>Trädgårdsavfall fint</v>
          </cell>
        </row>
        <row r="79">
          <cell r="A79" t="str">
            <v>Grönflis</v>
          </cell>
        </row>
        <row r="80">
          <cell r="A80" t="str">
            <v>Grax – benrester, märg</v>
          </cell>
        </row>
        <row r="81">
          <cell r="A81" t="str">
            <v>Gums - från HVO</v>
          </cell>
        </row>
        <row r="82">
          <cell r="A82" t="str">
            <v>Blekjord SBE – från HVO</v>
          </cell>
        </row>
        <row r="83">
          <cell r="A83" t="str">
            <v>Blekjord SBE, bara lakvatten</v>
          </cell>
        </row>
      </sheetData>
      <sheetData sheetId="3">
        <row r="6">
          <cell r="A6" t="str">
            <v>Blekjord SBE, bara lakvatten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86D4-DF36-4788-9378-40837380B26A}">
  <sheetPr>
    <tabColor rgb="FFFFFF00"/>
  </sheetPr>
  <dimension ref="A1:AS310"/>
  <sheetViews>
    <sheetView tabSelected="1" zoomScale="112" zoomScaleNormal="112" workbookViewId="0">
      <selection activeCell="Q23" sqref="Q23"/>
    </sheetView>
  </sheetViews>
  <sheetFormatPr defaultRowHeight="15" x14ac:dyDescent="0.25"/>
  <cols>
    <col min="1" max="1" width="18.5703125" customWidth="1"/>
    <col min="2" max="2" width="10.85546875" customWidth="1"/>
    <col min="3" max="3" width="24" customWidth="1"/>
    <col min="4" max="5" width="12.85546875" customWidth="1"/>
    <col min="6" max="6" width="30.140625" customWidth="1"/>
    <col min="7" max="7" width="12.5703125" customWidth="1"/>
    <col min="8" max="8" width="26.85546875" customWidth="1"/>
    <col min="9" max="9" width="37.42578125" customWidth="1"/>
    <col min="10" max="10" width="10.140625" customWidth="1"/>
    <col min="11" max="11" width="5.5703125" customWidth="1"/>
    <col min="12" max="13" width="7.28515625" customWidth="1"/>
    <col min="14" max="15" width="16.42578125" customWidth="1"/>
    <col min="16" max="16" width="20.28515625" customWidth="1"/>
    <col min="18" max="18" width="51.5703125" customWidth="1"/>
    <col min="19" max="19" width="9.7109375" customWidth="1"/>
    <col min="20" max="20" width="8.42578125" customWidth="1"/>
    <col min="22" max="22" width="40.140625" customWidth="1"/>
    <col min="24" max="24" width="10.28515625" customWidth="1"/>
    <col min="25" max="25" width="11.28515625" customWidth="1"/>
    <col min="26" max="26" width="49.42578125" customWidth="1"/>
    <col min="27" max="27" width="14.28515625" customWidth="1"/>
    <col min="28" max="28" width="12.140625" customWidth="1"/>
    <col min="29" max="29" width="15" customWidth="1"/>
    <col min="30" max="30" width="92.28515625" customWidth="1"/>
    <col min="31" max="31" width="14.42578125" customWidth="1"/>
    <col min="33" max="33" width="43.7109375" customWidth="1"/>
    <col min="34" max="34" width="21.28515625" customWidth="1"/>
    <col min="35" max="35" width="21.140625" customWidth="1"/>
    <col min="36" max="36" width="21.7109375" customWidth="1"/>
    <col min="37" max="37" width="21" customWidth="1"/>
    <col min="38" max="38" width="23.28515625" customWidth="1"/>
    <col min="39" max="39" width="26.7109375" customWidth="1"/>
    <col min="40" max="40" width="20.5703125" customWidth="1"/>
    <col min="41" max="41" width="22" customWidth="1"/>
    <col min="45" max="45" width="19.7109375" customWidth="1"/>
    <col min="50" max="50" width="17.28515625" customWidth="1"/>
  </cols>
  <sheetData>
    <row r="1" spans="1:45" s="59" customFormat="1" ht="24" x14ac:dyDescent="0.4">
      <c r="A1" s="62" t="s">
        <v>168</v>
      </c>
    </row>
    <row r="2" spans="1:45" s="59" customFormat="1" ht="18.75" x14ac:dyDescent="0.3">
      <c r="A2" s="60" t="s">
        <v>170</v>
      </c>
    </row>
    <row r="3" spans="1:45" s="59" customFormat="1" x14ac:dyDescent="0.25">
      <c r="A3" s="59" t="s">
        <v>171</v>
      </c>
      <c r="B3" s="92" t="s">
        <v>0</v>
      </c>
      <c r="C3" s="59" t="s">
        <v>1</v>
      </c>
    </row>
    <row r="4" spans="1:45" s="59" customFormat="1" x14ac:dyDescent="0.25"/>
    <row r="5" spans="1:45" s="3" customFormat="1" ht="18.75" x14ac:dyDescent="0.3">
      <c r="A5" s="60"/>
      <c r="B5" s="2" t="s">
        <v>2</v>
      </c>
      <c r="C5" s="2"/>
      <c r="E5" s="2" t="s">
        <v>3</v>
      </c>
      <c r="F5" s="2"/>
      <c r="H5" s="2" t="s">
        <v>4</v>
      </c>
      <c r="I5" s="2"/>
      <c r="J5" s="2"/>
      <c r="K5" s="2"/>
      <c r="L5" s="2"/>
      <c r="M5" s="2"/>
      <c r="N5" s="2"/>
      <c r="O5" s="2"/>
      <c r="Q5" s="2" t="s">
        <v>5</v>
      </c>
      <c r="R5" s="2"/>
      <c r="S5" s="61"/>
      <c r="T5" s="61"/>
      <c r="U5" s="2" t="s">
        <v>6</v>
      </c>
      <c r="V5" s="2"/>
      <c r="W5" s="61"/>
      <c r="X5" s="61"/>
      <c r="Y5" s="2" t="s">
        <v>7</v>
      </c>
      <c r="Z5" s="2"/>
      <c r="AA5" s="61"/>
      <c r="AB5" s="61"/>
      <c r="AC5" s="2" t="s">
        <v>8</v>
      </c>
      <c r="AD5" s="2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45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</row>
    <row r="7" spans="1:45" x14ac:dyDescent="0.25">
      <c r="A7" s="59"/>
      <c r="B7" s="59"/>
      <c r="C7" s="59"/>
      <c r="D7" s="59"/>
      <c r="E7" s="59"/>
      <c r="F7" s="59"/>
      <c r="G7" s="59"/>
      <c r="H7" s="59"/>
      <c r="I7" s="3" t="s">
        <v>10</v>
      </c>
      <c r="J7" s="59"/>
      <c r="K7" s="59"/>
      <c r="L7" s="59"/>
      <c r="M7" s="59"/>
      <c r="N7" s="59"/>
      <c r="O7" s="59"/>
      <c r="P7" s="59"/>
      <c r="Q7" s="61"/>
      <c r="R7" s="59"/>
      <c r="S7" s="59"/>
      <c r="T7" s="59"/>
      <c r="U7" s="61"/>
      <c r="V7" s="59"/>
      <c r="W7" s="59"/>
      <c r="X7" s="59"/>
      <c r="Y7" s="3" t="s">
        <v>11</v>
      </c>
      <c r="AA7" s="59"/>
      <c r="AB7" s="59"/>
      <c r="AC7" s="64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</row>
    <row r="8" spans="1:45" x14ac:dyDescent="0.25">
      <c r="A8" s="61"/>
      <c r="B8" s="59"/>
      <c r="C8" s="59"/>
      <c r="D8" s="59"/>
      <c r="E8" s="59"/>
      <c r="F8" s="59"/>
      <c r="G8" s="59"/>
      <c r="H8" s="59"/>
      <c r="I8" s="4" t="str">
        <f>B12</f>
        <v>COW MANURE</v>
      </c>
      <c r="J8" s="5">
        <f>B13/365</f>
        <v>1.8630136986301369</v>
      </c>
      <c r="K8" s="4" t="s">
        <v>12</v>
      </c>
      <c r="L8" s="6">
        <f t="shared" ref="L8:L14" si="0">J8/$J$14</f>
        <v>0.18167245524979964</v>
      </c>
      <c r="M8" s="59"/>
      <c r="N8" s="59"/>
      <c r="O8" s="59"/>
      <c r="P8" s="59"/>
      <c r="Q8" s="61"/>
      <c r="R8" s="59"/>
      <c r="S8" s="59"/>
      <c r="T8" s="59"/>
      <c r="U8" s="61"/>
      <c r="V8" s="59"/>
      <c r="W8" s="59"/>
      <c r="X8" s="59"/>
      <c r="Y8" s="7">
        <f>U26/2</f>
        <v>85499.363636363632</v>
      </c>
      <c r="Z8" s="4" t="s">
        <v>13</v>
      </c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</row>
    <row r="9" spans="1:45" x14ac:dyDescent="0.25">
      <c r="A9" s="61"/>
      <c r="B9" s="59"/>
      <c r="C9" s="59"/>
      <c r="D9" s="59"/>
      <c r="E9" s="59"/>
      <c r="F9" s="59"/>
      <c r="G9" s="59"/>
      <c r="H9" s="59"/>
      <c r="I9" s="4" t="str">
        <f>B23</f>
        <v>PIG MANURE</v>
      </c>
      <c r="J9" s="5">
        <f>B24/365</f>
        <v>0.13150684931506848</v>
      </c>
      <c r="K9" s="4" t="s">
        <v>12</v>
      </c>
      <c r="L9" s="6">
        <f t="shared" si="0"/>
        <v>1.2823938017632914E-2</v>
      </c>
      <c r="M9" s="59"/>
      <c r="N9" s="59"/>
      <c r="O9" s="59"/>
      <c r="P9" s="59"/>
      <c r="Q9" s="61"/>
      <c r="R9" s="59"/>
      <c r="S9" s="59"/>
      <c r="T9" s="59"/>
      <c r="U9" s="61"/>
      <c r="V9" s="59"/>
      <c r="W9" s="59"/>
      <c r="X9" s="59"/>
      <c r="Y9" s="8">
        <f>Y8*U23/1000</f>
        <v>102.59923636363636</v>
      </c>
      <c r="Z9" s="2" t="s">
        <v>14</v>
      </c>
      <c r="AA9" s="59"/>
      <c r="AB9" s="59"/>
      <c r="AC9" s="61" t="s">
        <v>16</v>
      </c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A10" s="61"/>
      <c r="B10" s="3" t="s">
        <v>17</v>
      </c>
      <c r="D10" s="59"/>
      <c r="E10" s="59"/>
      <c r="F10" s="59"/>
      <c r="G10" s="59"/>
      <c r="H10" s="59"/>
      <c r="I10" s="4" t="str">
        <f>B34</f>
        <v>HORSE MANURE</v>
      </c>
      <c r="J10" s="5">
        <f>B35/365</f>
        <v>0.54794520547945202</v>
      </c>
      <c r="K10" s="4" t="s">
        <v>12</v>
      </c>
      <c r="L10" s="6">
        <f t="shared" si="0"/>
        <v>5.3433075073470476E-2</v>
      </c>
      <c r="M10" s="59"/>
      <c r="N10" s="59"/>
      <c r="O10" s="59"/>
      <c r="P10" s="59"/>
      <c r="Q10" s="61"/>
      <c r="R10" s="59"/>
      <c r="S10" s="59"/>
      <c r="T10" s="59"/>
      <c r="U10" s="61"/>
      <c r="V10" s="59"/>
      <c r="W10" s="59"/>
      <c r="X10" s="59"/>
      <c r="Y10" s="9">
        <f>Y8/365/24</f>
        <v>9.7602013283520126</v>
      </c>
      <c r="Z10" s="4" t="s">
        <v>18</v>
      </c>
      <c r="AA10" s="59" t="s">
        <v>15</v>
      </c>
      <c r="AB10" s="59"/>
      <c r="AC10" s="10">
        <f>Y16</f>
        <v>150027.44336</v>
      </c>
      <c r="AD10" s="11" t="s">
        <v>19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A11" s="59"/>
      <c r="B11" s="59"/>
      <c r="C11" s="59"/>
      <c r="D11" s="59"/>
      <c r="E11" s="59"/>
      <c r="F11" s="59"/>
      <c r="G11" s="59"/>
      <c r="H11" s="59"/>
      <c r="I11" s="4" t="str">
        <f>B48</f>
        <v>APPLE JUICE POMACE</v>
      </c>
      <c r="J11" s="5">
        <f>B49/365</f>
        <v>1.095890410958904</v>
      </c>
      <c r="K11" s="4" t="s">
        <v>12</v>
      </c>
      <c r="L11" s="6">
        <f t="shared" si="0"/>
        <v>0.10686615014694095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9">
        <f>Y8*U21*U22</f>
        <v>468835.76050000003</v>
      </c>
      <c r="Z11" s="4" t="s">
        <v>20</v>
      </c>
      <c r="AA11" s="59"/>
      <c r="AB11" s="59"/>
      <c r="AC11" s="10">
        <f>Y17</f>
        <v>239106.23785500001</v>
      </c>
      <c r="AD11" s="11" t="s">
        <v>21</v>
      </c>
      <c r="AE11" s="68"/>
      <c r="AF11" s="69"/>
      <c r="AG11" s="70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A12" s="59"/>
      <c r="B12" s="2" t="s">
        <v>22</v>
      </c>
      <c r="C12" s="4"/>
      <c r="D12" s="59"/>
      <c r="E12" s="2" t="s">
        <v>23</v>
      </c>
      <c r="F12" s="2"/>
      <c r="G12" s="59"/>
      <c r="H12" s="59"/>
      <c r="I12" s="4" t="str">
        <f>G73</f>
        <v>GRASS SILAGE Press cake</v>
      </c>
      <c r="J12" s="5">
        <f>G79/365</f>
        <v>0.58904109589041098</v>
      </c>
      <c r="K12" s="4" t="s">
        <v>12</v>
      </c>
      <c r="L12" s="6">
        <f t="shared" si="0"/>
        <v>5.7440555703980767E-2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12">
        <v>0.32</v>
      </c>
      <c r="Z12" s="4" t="s">
        <v>24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A13" s="59"/>
      <c r="B13" s="1">
        <v>680</v>
      </c>
      <c r="C13" s="13" t="s">
        <v>25</v>
      </c>
      <c r="D13" s="59"/>
      <c r="E13" s="14">
        <v>100</v>
      </c>
      <c r="F13" s="13" t="s">
        <v>26</v>
      </c>
      <c r="G13" s="59"/>
      <c r="H13" s="59"/>
      <c r="I13" s="15" t="str">
        <f>B62</f>
        <v>PROCESS WATER /RECIRCULATE</v>
      </c>
      <c r="J13" s="16">
        <f>B63/365</f>
        <v>6.0273972602739727</v>
      </c>
      <c r="K13" s="15" t="s">
        <v>12</v>
      </c>
      <c r="L13" s="17">
        <f t="shared" si="0"/>
        <v>0.58776382580817532</v>
      </c>
      <c r="M13" s="65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12">
        <v>0.51</v>
      </c>
      <c r="Z13" s="4" t="s">
        <v>27</v>
      </c>
      <c r="AA13" s="59"/>
      <c r="AB13" s="59"/>
      <c r="AC13" s="61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A14" s="59"/>
      <c r="B14" s="12">
        <v>0.09</v>
      </c>
      <c r="C14" s="4" t="s">
        <v>28</v>
      </c>
      <c r="D14" s="59"/>
      <c r="E14" s="9">
        <f>E13/(B13/365)</f>
        <v>53.676470588235297</v>
      </c>
      <c r="F14" s="4" t="s">
        <v>29</v>
      </c>
      <c r="G14" s="59"/>
      <c r="H14" s="59"/>
      <c r="I14" s="11" t="s">
        <v>30</v>
      </c>
      <c r="J14" s="18">
        <f>SUM(J8:J13)</f>
        <v>10.254794520547945</v>
      </c>
      <c r="K14" s="11" t="s">
        <v>12</v>
      </c>
      <c r="L14" s="19">
        <f t="shared" si="0"/>
        <v>1</v>
      </c>
      <c r="M14" s="65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20">
        <v>7500</v>
      </c>
      <c r="Z14" s="15" t="s">
        <v>31</v>
      </c>
      <c r="AA14" s="59"/>
      <c r="AB14" s="59"/>
      <c r="AC14" s="91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A15" s="59"/>
      <c r="B15" s="12">
        <v>0.8</v>
      </c>
      <c r="C15" s="4" t="s">
        <v>32</v>
      </c>
      <c r="D15" s="59"/>
      <c r="E15" s="59"/>
      <c r="F15" s="59"/>
      <c r="G15" s="59"/>
      <c r="H15" s="59"/>
      <c r="I15" s="21" t="s">
        <v>33</v>
      </c>
      <c r="J15" s="22">
        <f>Q23</f>
        <v>0.10294683409030191</v>
      </c>
      <c r="K15" s="21" t="s">
        <v>34</v>
      </c>
      <c r="L15" s="23"/>
      <c r="M15" s="65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24">
        <f>Y16/Y14</f>
        <v>20.003659114666668</v>
      </c>
      <c r="Z15" s="11" t="s">
        <v>169</v>
      </c>
      <c r="AA15" s="59"/>
      <c r="AB15" s="59"/>
      <c r="AC15" s="91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A16" s="59"/>
      <c r="B16" s="20">
        <v>230</v>
      </c>
      <c r="C16" s="15" t="s">
        <v>36</v>
      </c>
      <c r="D16" s="59" t="s">
        <v>37</v>
      </c>
      <c r="E16" s="59"/>
      <c r="F16" s="59"/>
      <c r="G16" s="59"/>
      <c r="H16" s="59"/>
      <c r="I16" s="4" t="s">
        <v>38</v>
      </c>
      <c r="J16" s="25">
        <f>J12+J11+J10</f>
        <v>2.2328767123287672</v>
      </c>
      <c r="K16" s="4" t="s">
        <v>12</v>
      </c>
      <c r="L16" s="4"/>
      <c r="M16" s="65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26">
        <f>Y11*Y12</f>
        <v>150027.44336</v>
      </c>
      <c r="Z16" s="13" t="s">
        <v>19</v>
      </c>
      <c r="AA16" s="59"/>
      <c r="AB16" s="59"/>
      <c r="AC16" s="65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1:45" x14ac:dyDescent="0.25">
      <c r="A17" s="59"/>
      <c r="B17" s="25">
        <f>(B13*B14)*B15</f>
        <v>48.96</v>
      </c>
      <c r="C17" s="4" t="s">
        <v>39</v>
      </c>
      <c r="D17" s="59"/>
      <c r="E17" s="59"/>
      <c r="F17" s="59"/>
      <c r="G17" s="59"/>
      <c r="H17" s="59"/>
      <c r="I17" s="4" t="s">
        <v>40</v>
      </c>
      <c r="J17" s="25">
        <f>J8+J9</f>
        <v>1.9945205479452053</v>
      </c>
      <c r="K17" s="4" t="s">
        <v>12</v>
      </c>
      <c r="L17" s="4"/>
      <c r="M17" s="65"/>
      <c r="N17" s="59"/>
      <c r="O17" s="59"/>
      <c r="P17" s="61"/>
      <c r="Q17" s="3" t="s">
        <v>41</v>
      </c>
      <c r="R17" s="59"/>
      <c r="S17" s="59"/>
      <c r="T17" s="59"/>
      <c r="U17" s="3" t="s">
        <v>42</v>
      </c>
      <c r="W17" s="59"/>
      <c r="X17" s="59"/>
      <c r="Y17" s="26">
        <f>Y11*Y13</f>
        <v>239106.23785500001</v>
      </c>
      <c r="Z17" s="13" t="s">
        <v>21</v>
      </c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4"/>
      <c r="AP17" s="59"/>
      <c r="AQ17" s="59"/>
      <c r="AR17" s="59"/>
      <c r="AS17" s="59"/>
    </row>
    <row r="18" spans="1:45" x14ac:dyDescent="0.25">
      <c r="A18" s="59"/>
      <c r="B18" s="9">
        <f>(B17*B16*1000/1000)/B13</f>
        <v>16.560000000000002</v>
      </c>
      <c r="C18" s="4" t="s">
        <v>43</v>
      </c>
      <c r="D18" s="59"/>
      <c r="E18" s="59"/>
      <c r="F18" s="59"/>
      <c r="G18" s="59"/>
      <c r="H18" s="59"/>
      <c r="I18" s="4" t="s">
        <v>44</v>
      </c>
      <c r="J18" s="25">
        <f>J13</f>
        <v>6.0273972602739727</v>
      </c>
      <c r="K18" s="4" t="s">
        <v>12</v>
      </c>
      <c r="L18" s="4"/>
      <c r="M18" s="73"/>
      <c r="N18" s="59"/>
      <c r="O18" s="59"/>
      <c r="P18" s="59"/>
      <c r="Q18" s="9">
        <f>SUM(B13,B24,B35,G79,B49,B63)</f>
        <v>3743</v>
      </c>
      <c r="R18" s="4" t="s">
        <v>45</v>
      </c>
      <c r="S18" s="59"/>
      <c r="T18" s="59"/>
      <c r="U18" s="9">
        <f>(B18*B13+B29*B24+B40*B35+G81*G79+B54*B49+B68*B63)/365</f>
        <v>257.66931506849318</v>
      </c>
      <c r="V18" s="4" t="s">
        <v>46</v>
      </c>
      <c r="W18" s="90">
        <v>0.5</v>
      </c>
      <c r="X18" s="59"/>
      <c r="Y18" s="26">
        <f>Y8*(1-U21)</f>
        <v>38474.713636363631</v>
      </c>
      <c r="Z18" s="13" t="s">
        <v>47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1:45" x14ac:dyDescent="0.25">
      <c r="A19" s="59"/>
      <c r="B19" s="25">
        <f>B18*U22</f>
        <v>165.10320000000004</v>
      </c>
      <c r="C19" s="4" t="s">
        <v>48</v>
      </c>
      <c r="D19" s="59"/>
      <c r="E19" s="59"/>
      <c r="F19" s="59"/>
      <c r="G19" s="59"/>
      <c r="H19" s="59"/>
      <c r="I19" s="59"/>
      <c r="J19" s="59"/>
      <c r="K19" s="59"/>
      <c r="L19" s="59"/>
      <c r="M19" s="65"/>
      <c r="N19" s="59"/>
      <c r="O19" s="59"/>
      <c r="P19" s="59"/>
      <c r="Q19" s="25">
        <f>Q18/365</f>
        <v>10.254794520547945</v>
      </c>
      <c r="R19" s="4" t="s">
        <v>49</v>
      </c>
      <c r="S19" s="59"/>
      <c r="T19" s="59"/>
      <c r="U19" s="9">
        <f>SUM(B18*B13+B29*B24+B40*B35+G81*G79+B54*B49+B68*B63)</f>
        <v>94049.3</v>
      </c>
      <c r="V19" s="4" t="s">
        <v>50</v>
      </c>
      <c r="W19" s="59" t="s">
        <v>51</v>
      </c>
      <c r="X19" s="59"/>
      <c r="Y19" s="26">
        <f>Y18*Y25/1000</f>
        <v>73.101955909090904</v>
      </c>
      <c r="Z19" s="13" t="s">
        <v>52</v>
      </c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1:45" x14ac:dyDescent="0.25">
      <c r="A20" s="59"/>
      <c r="B20" s="9">
        <f>B19*B13</f>
        <v>112270.17600000004</v>
      </c>
      <c r="C20" s="4" t="s">
        <v>9</v>
      </c>
      <c r="D20" s="59"/>
      <c r="E20" s="59"/>
      <c r="F20" s="59"/>
      <c r="G20" s="59"/>
      <c r="H20" s="59"/>
      <c r="I20" s="59"/>
      <c r="J20" s="59"/>
      <c r="K20" s="59"/>
      <c r="L20" s="59"/>
      <c r="M20" s="65"/>
      <c r="N20" s="59"/>
      <c r="O20" s="59"/>
      <c r="P20" s="59"/>
      <c r="Q20" s="9">
        <f>B14*B13+B25*B24+B36*B35+G75*G79+B50*B49+B64*B63</f>
        <v>385.33000000000004</v>
      </c>
      <c r="R20" s="4" t="s">
        <v>53</v>
      </c>
      <c r="S20" s="59"/>
      <c r="T20" s="59"/>
      <c r="U20" s="27">
        <f>(U19*U22)/1000/1000</f>
        <v>0.93767152100000006</v>
      </c>
      <c r="V20" s="2" t="s">
        <v>54</v>
      </c>
      <c r="W20" s="59"/>
      <c r="X20" s="59"/>
      <c r="Y20" s="59"/>
      <c r="Z20" s="59"/>
      <c r="AA20" s="59"/>
      <c r="AB20" s="59"/>
      <c r="AC20" s="61" t="s">
        <v>55</v>
      </c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1:45" x14ac:dyDescent="0.25">
      <c r="A21" s="59"/>
      <c r="B21" s="59"/>
      <c r="C21" s="59"/>
      <c r="D21" s="59"/>
      <c r="E21" s="59"/>
      <c r="F21" s="59"/>
      <c r="G21" s="59"/>
      <c r="H21" s="59" t="s">
        <v>56</v>
      </c>
      <c r="I21" s="59"/>
      <c r="J21" s="59"/>
      <c r="K21" s="59"/>
      <c r="L21" s="59"/>
      <c r="M21" s="59"/>
      <c r="N21" s="59"/>
      <c r="O21" s="59"/>
      <c r="P21" s="59"/>
      <c r="Q21" s="9">
        <f>SUM(B17+B28+B39+G80+B53+B67)</f>
        <v>353.42650000000003</v>
      </c>
      <c r="R21" s="4" t="s">
        <v>57</v>
      </c>
      <c r="S21" s="59" t="s">
        <v>51</v>
      </c>
      <c r="T21" s="59"/>
      <c r="U21" s="12">
        <v>0.55000000000000004</v>
      </c>
      <c r="V21" s="4" t="s">
        <v>58</v>
      </c>
      <c r="W21" s="59"/>
      <c r="X21" s="59"/>
      <c r="Y21" s="61" t="s">
        <v>59</v>
      </c>
      <c r="Z21" s="59"/>
      <c r="AA21" s="59"/>
      <c r="AB21" s="59"/>
      <c r="AC21" s="26">
        <f>Y27</f>
        <v>46084.156999999999</v>
      </c>
      <c r="AD21" s="13" t="s">
        <v>60</v>
      </c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1:4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28">
        <v>300</v>
      </c>
      <c r="R22" s="29" t="s">
        <v>61</v>
      </c>
      <c r="S22" s="59"/>
      <c r="T22" s="59"/>
      <c r="U22" s="30">
        <v>9.9700000000000006</v>
      </c>
      <c r="V22" s="4" t="s">
        <v>62</v>
      </c>
      <c r="W22" s="90">
        <v>0.5</v>
      </c>
      <c r="X22" s="59"/>
      <c r="Y22" s="7">
        <f>U26/2</f>
        <v>85499.363636363632</v>
      </c>
      <c r="Z22" s="4" t="s">
        <v>63</v>
      </c>
      <c r="AA22" s="59" t="s">
        <v>64</v>
      </c>
      <c r="AB22" s="59"/>
      <c r="AC22" s="10">
        <f>Y29</f>
        <v>33.180593039999998</v>
      </c>
      <c r="AD22" s="11" t="s">
        <v>65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1:45" x14ac:dyDescent="0.25">
      <c r="A23" s="59"/>
      <c r="B23" s="2" t="s">
        <v>66</v>
      </c>
      <c r="C23" s="4"/>
      <c r="D23" s="59"/>
      <c r="E23" s="2" t="s">
        <v>67</v>
      </c>
      <c r="F23" s="2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31">
        <f>Q20/Q18</f>
        <v>0.10294683409030191</v>
      </c>
      <c r="R23" s="2" t="s">
        <v>68</v>
      </c>
      <c r="S23" s="59"/>
      <c r="T23" s="59"/>
      <c r="U23" s="20">
        <v>1.2</v>
      </c>
      <c r="V23" s="15" t="s">
        <v>69</v>
      </c>
      <c r="W23" s="59" t="s">
        <v>51</v>
      </c>
      <c r="X23" s="59"/>
      <c r="Y23" s="8">
        <f>Y22*U23/1000</f>
        <v>102.59923636363636</v>
      </c>
      <c r="Z23" s="2" t="s">
        <v>14</v>
      </c>
      <c r="AA23" s="59"/>
      <c r="AB23" s="59"/>
      <c r="AC23" s="10">
        <f>AC22*1000/365</f>
        <v>90.905734356164388</v>
      </c>
      <c r="AD23" s="11" t="s">
        <v>70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1:45" x14ac:dyDescent="0.25">
      <c r="A24" s="59"/>
      <c r="B24" s="1">
        <v>48</v>
      </c>
      <c r="C24" s="13" t="s">
        <v>25</v>
      </c>
      <c r="D24" s="59"/>
      <c r="E24" s="14">
        <v>100</v>
      </c>
      <c r="F24" s="13" t="s">
        <v>26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33">
        <f>Q21*1000/365/Q22</f>
        <v>3.2276392694063931</v>
      </c>
      <c r="R24" s="2" t="s">
        <v>71</v>
      </c>
      <c r="S24" s="59"/>
      <c r="T24" s="59"/>
      <c r="U24" s="10">
        <f>U26*U23/1000</f>
        <v>205.19847272727273</v>
      </c>
      <c r="V24" s="11" t="s">
        <v>72</v>
      </c>
      <c r="W24" s="59"/>
      <c r="X24" s="59"/>
      <c r="Y24" s="30">
        <v>0.72</v>
      </c>
      <c r="Z24" s="4" t="s">
        <v>73</v>
      </c>
      <c r="AA24" s="59"/>
      <c r="AB24" s="59"/>
      <c r="AC24" s="26">
        <f>AC23/Y24</f>
        <v>126.25796438356166</v>
      </c>
      <c r="AD24" s="13" t="s">
        <v>74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1:45" x14ac:dyDescent="0.25">
      <c r="A25" s="59"/>
      <c r="B25" s="12">
        <v>0.06</v>
      </c>
      <c r="C25" s="4" t="s">
        <v>28</v>
      </c>
      <c r="D25" s="59"/>
      <c r="E25" s="9">
        <f>E24/(B24/365)</f>
        <v>760.41666666666674</v>
      </c>
      <c r="F25" s="4" t="s">
        <v>29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8">
        <f>Q22/Q19</f>
        <v>29.254608602725089</v>
      </c>
      <c r="R25" s="2" t="s">
        <v>75</v>
      </c>
      <c r="S25" s="59"/>
      <c r="T25" s="59"/>
      <c r="U25" s="26">
        <f>U18/U21</f>
        <v>468.48966376089663</v>
      </c>
      <c r="V25" s="13" t="s">
        <v>76</v>
      </c>
      <c r="W25" s="59"/>
      <c r="X25" s="59"/>
      <c r="Y25" s="30">
        <v>1.9</v>
      </c>
      <c r="Z25" s="4" t="s">
        <v>77</v>
      </c>
      <c r="AA25" s="59"/>
      <c r="AB25" s="59"/>
      <c r="AC25" s="3" t="s">
        <v>78</v>
      </c>
      <c r="AE25" s="70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1:45" x14ac:dyDescent="0.25">
      <c r="A26" s="59"/>
      <c r="B26" s="12">
        <v>0.8</v>
      </c>
      <c r="C26" s="4" t="s">
        <v>32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6">
        <f>U19/U21</f>
        <v>170998.72727272726</v>
      </c>
      <c r="V26" s="13" t="s">
        <v>79</v>
      </c>
      <c r="W26" s="59"/>
      <c r="X26" s="59"/>
      <c r="Y26" s="34">
        <v>0.02</v>
      </c>
      <c r="Z26" s="15" t="s">
        <v>80</v>
      </c>
      <c r="AA26" s="59"/>
      <c r="AB26" s="59"/>
      <c r="AC26" s="12">
        <v>0.95</v>
      </c>
      <c r="AD26" s="4" t="s">
        <v>81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1:45" x14ac:dyDescent="0.25">
      <c r="A27" s="59"/>
      <c r="B27" s="20">
        <v>250</v>
      </c>
      <c r="C27" s="15" t="s">
        <v>36</v>
      </c>
      <c r="D27" s="59" t="s">
        <v>37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26">
        <f>_xlfn.CEILING.MATH((U25*2),4)</f>
        <v>940</v>
      </c>
      <c r="V27" s="13" t="s">
        <v>82</v>
      </c>
      <c r="W27" s="59" t="s">
        <v>51</v>
      </c>
      <c r="X27" s="59"/>
      <c r="Y27" s="26">
        <f>Y22*U21*(1-Y26)</f>
        <v>46084.156999999999</v>
      </c>
      <c r="Z27" s="13" t="s">
        <v>60</v>
      </c>
      <c r="AA27" s="59"/>
      <c r="AB27" s="59"/>
      <c r="AC27" s="7">
        <f>Y32</f>
        <v>70.177877672727263</v>
      </c>
      <c r="AD27" s="4" t="s">
        <v>83</v>
      </c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1:45" x14ac:dyDescent="0.25">
      <c r="A28" s="59"/>
      <c r="B28" s="25">
        <f>(B24*B25)*B26</f>
        <v>2.3039999999999998</v>
      </c>
      <c r="C28" s="4" t="s">
        <v>39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24">
        <f>Y27/365/24</f>
        <v>5.2607485159817351</v>
      </c>
      <c r="Z28" s="11" t="s">
        <v>84</v>
      </c>
      <c r="AA28" s="59"/>
      <c r="AB28" s="59"/>
      <c r="AC28" s="9">
        <f>(AC27/365)*1000</f>
        <v>192.26815800747195</v>
      </c>
      <c r="AD28" s="4" t="s">
        <v>85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1:45" x14ac:dyDescent="0.25">
      <c r="A29" s="59"/>
      <c r="B29" s="9">
        <f>(B28*B27*1000/1000)/B24</f>
        <v>12</v>
      </c>
      <c r="C29" s="4" t="s">
        <v>86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10">
        <f>Y27*Y24/1000</f>
        <v>33.180593039999998</v>
      </c>
      <c r="Z29" s="11" t="s">
        <v>65</v>
      </c>
      <c r="AA29" s="59"/>
      <c r="AB29" s="59"/>
      <c r="AC29" s="25">
        <f>AC27/365/24*1000</f>
        <v>8.011173250311332</v>
      </c>
      <c r="AD29" s="4" t="s">
        <v>87</v>
      </c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1:45" x14ac:dyDescent="0.25">
      <c r="A30" s="59"/>
      <c r="B30" s="25">
        <f>B29*U22</f>
        <v>119.64000000000001</v>
      </c>
      <c r="C30" s="4" t="s">
        <v>48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1" t="s">
        <v>88</v>
      </c>
      <c r="R30" s="59"/>
      <c r="S30" s="59"/>
      <c r="T30" s="59"/>
      <c r="U30" s="61" t="s">
        <v>89</v>
      </c>
      <c r="V30" s="59"/>
      <c r="W30" s="59"/>
      <c r="X30" s="59"/>
      <c r="Y30" s="35">
        <f>Y27*U22/1000/1000</f>
        <v>0.45945904529000009</v>
      </c>
      <c r="Z30" s="13" t="s">
        <v>90</v>
      </c>
      <c r="AA30" s="59" t="s">
        <v>91</v>
      </c>
      <c r="AB30" s="64"/>
      <c r="AC30" s="9">
        <f>Y31/365/24</f>
        <v>4.216406973848069</v>
      </c>
      <c r="AD30" s="4" t="s">
        <v>92</v>
      </c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1:45" x14ac:dyDescent="0.25">
      <c r="A31" s="59"/>
      <c r="B31" s="9">
        <f>B30*B24</f>
        <v>5742.7200000000012</v>
      </c>
      <c r="C31" s="4" t="s">
        <v>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9">
        <f>Q18</f>
        <v>3743</v>
      </c>
      <c r="R31" s="4" t="s">
        <v>93</v>
      </c>
      <c r="S31" s="59" t="s">
        <v>51</v>
      </c>
      <c r="T31" s="59"/>
      <c r="U31" s="32">
        <v>31</v>
      </c>
      <c r="V31" s="4" t="s">
        <v>94</v>
      </c>
      <c r="W31" s="59"/>
      <c r="X31" s="59"/>
      <c r="Y31" s="26">
        <f>(Y22*(1-U21))*0.96</f>
        <v>36935.725090909087</v>
      </c>
      <c r="Z31" s="13" t="s">
        <v>95</v>
      </c>
      <c r="AA31" s="59"/>
      <c r="AB31" s="59"/>
      <c r="AC31" s="20">
        <v>1030</v>
      </c>
      <c r="AD31" s="36" t="s">
        <v>96</v>
      </c>
      <c r="AE31" s="63"/>
      <c r="AF31" s="59"/>
      <c r="AG31" s="59"/>
      <c r="AH31" s="76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1:4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25">
        <f>Q31/365</f>
        <v>10.254794520547945</v>
      </c>
      <c r="R32" s="4" t="s">
        <v>97</v>
      </c>
      <c r="S32" s="59"/>
      <c r="T32" s="59"/>
      <c r="U32" s="37">
        <f>U31*U26/1000/1000</f>
        <v>5.3009605454545454</v>
      </c>
      <c r="V32" s="4" t="s">
        <v>98</v>
      </c>
      <c r="W32" s="59"/>
      <c r="X32" s="59"/>
      <c r="Y32" s="10">
        <f>Y31*Y25/1000</f>
        <v>70.177877672727263</v>
      </c>
      <c r="Z32" s="11" t="s">
        <v>35</v>
      </c>
      <c r="AA32" s="59"/>
      <c r="AB32" s="59"/>
      <c r="AC32" s="35">
        <f>AC30*Y25/AC31*1000</f>
        <v>7.7778381070983791</v>
      </c>
      <c r="AD32" s="13" t="s">
        <v>99</v>
      </c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A33" s="59"/>
      <c r="B33" s="59"/>
      <c r="C33" s="59"/>
      <c r="D33" s="59"/>
      <c r="E33" s="2" t="s">
        <v>100</v>
      </c>
      <c r="F33" s="2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38">
        <v>300</v>
      </c>
      <c r="R33" s="29" t="s">
        <v>101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26">
        <f>AC32*24</f>
        <v>186.6681145703611</v>
      </c>
      <c r="AD33" s="13" t="s">
        <v>102</v>
      </c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A34" s="59"/>
      <c r="B34" s="2" t="s">
        <v>103</v>
      </c>
      <c r="C34" s="4"/>
      <c r="D34" s="59"/>
      <c r="E34" s="32">
        <v>0.5</v>
      </c>
      <c r="F34" s="4" t="s">
        <v>104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5">
        <f>Q21*1000/365/(Q33+Q22)</f>
        <v>1.6138196347031966</v>
      </c>
      <c r="R34" s="4" t="s">
        <v>105</v>
      </c>
      <c r="S34" s="59"/>
      <c r="T34" s="59"/>
      <c r="U34" s="59"/>
      <c r="V34" s="59"/>
      <c r="W34" s="59"/>
      <c r="X34" s="59"/>
      <c r="Y34" s="61" t="s">
        <v>106</v>
      </c>
      <c r="Z34" s="59"/>
      <c r="AA34" s="59"/>
      <c r="AB34" s="59"/>
      <c r="AC34" s="10">
        <f>AC33*365</f>
        <v>68133.861818181802</v>
      </c>
      <c r="AD34" s="11" t="s">
        <v>107</v>
      </c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A35" s="59"/>
      <c r="B35" s="1">
        <v>200</v>
      </c>
      <c r="C35" s="13" t="s">
        <v>25</v>
      </c>
      <c r="D35" s="59"/>
      <c r="E35" s="32">
        <v>2</v>
      </c>
      <c r="F35" s="4" t="s">
        <v>108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4">
        <f>Q33+Q22</f>
        <v>600</v>
      </c>
      <c r="R35" s="4" t="s">
        <v>109</v>
      </c>
      <c r="S35" s="59"/>
      <c r="T35" s="59"/>
      <c r="U35" s="59"/>
      <c r="V35" s="59"/>
      <c r="W35" s="59"/>
      <c r="X35" s="59"/>
      <c r="Y35" s="39">
        <f>U26</f>
        <v>170998.72727272726</v>
      </c>
      <c r="Z35" s="15" t="s">
        <v>63</v>
      </c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12">
        <v>0.315</v>
      </c>
      <c r="C36" s="4" t="s">
        <v>28</v>
      </c>
      <c r="D36" s="59"/>
      <c r="E36" s="40">
        <f>B35/E34</f>
        <v>400</v>
      </c>
      <c r="F36" s="4" t="s">
        <v>110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8">
        <f>Y35/8760</f>
        <v>19.520402656704025</v>
      </c>
      <c r="Z36" s="2" t="s">
        <v>111</v>
      </c>
      <c r="AA36" s="59"/>
      <c r="AB36" s="59"/>
      <c r="AC36" s="2" t="s">
        <v>112</v>
      </c>
      <c r="AD36" s="2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12">
        <v>0.82</v>
      </c>
      <c r="C37" s="4" t="s">
        <v>32</v>
      </c>
      <c r="D37" s="59"/>
      <c r="E37" s="14">
        <v>30</v>
      </c>
      <c r="F37" s="13" t="s">
        <v>113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3" t="s">
        <v>166</v>
      </c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20">
        <v>214</v>
      </c>
      <c r="C38" s="15" t="s">
        <v>36</v>
      </c>
      <c r="D38" s="59"/>
      <c r="E38" s="9">
        <f>E37*E35/((B35/E34)/365)</f>
        <v>54.75</v>
      </c>
      <c r="F38" s="4" t="s">
        <v>114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41">
        <f>Y49-AC60</f>
        <v>2.695948971357411</v>
      </c>
      <c r="AD38" s="4" t="s">
        <v>115</v>
      </c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25">
        <f>(B35*B36)*B37</f>
        <v>51.66</v>
      </c>
      <c r="C39" s="4" t="s">
        <v>39</v>
      </c>
      <c r="D39" s="59" t="s">
        <v>116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9">
        <f>AC38*365</f>
        <v>984.02137454545505</v>
      </c>
      <c r="AD39" s="4" t="s">
        <v>117</v>
      </c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9">
        <f>(B39*B38*1000/1000)/B35</f>
        <v>55.276199999999996</v>
      </c>
      <c r="C40" s="4" t="s">
        <v>86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9">
        <f>AC39</f>
        <v>984.02137454545505</v>
      </c>
      <c r="AD40" s="4" t="s">
        <v>118</v>
      </c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25">
        <f>B40*U22</f>
        <v>551.10371399999997</v>
      </c>
      <c r="C41" s="4" t="s">
        <v>48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37">
        <f>AC40/365</f>
        <v>2.695948971357411</v>
      </c>
      <c r="AD41" s="4" t="s">
        <v>119</v>
      </c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9">
        <f>B41*B35</f>
        <v>110220.74279999999</v>
      </c>
      <c r="C42" s="4" t="s">
        <v>9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2" t="s">
        <v>120</v>
      </c>
      <c r="Z42" s="2"/>
      <c r="AA42" s="59"/>
      <c r="AB42" s="59" t="s">
        <v>121</v>
      </c>
      <c r="AC42" s="9">
        <f>AC38*1000/24</f>
        <v>112.33120713989211</v>
      </c>
      <c r="AD42" s="4" t="s">
        <v>122</v>
      </c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12"/>
      <c r="AD43" s="4" t="s">
        <v>123</v>
      </c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72"/>
      <c r="L44" s="72"/>
      <c r="M44" s="72"/>
      <c r="N44" s="72"/>
      <c r="O44" s="72"/>
      <c r="P44" s="72"/>
      <c r="Q44" s="59"/>
      <c r="R44" s="59"/>
      <c r="S44" s="59"/>
      <c r="T44" s="59"/>
      <c r="U44" s="59"/>
      <c r="V44" s="59"/>
      <c r="W44" s="59"/>
      <c r="X44" s="59"/>
      <c r="Y44" s="61" t="s">
        <v>124</v>
      </c>
      <c r="Z44" s="59"/>
      <c r="AA44" s="59"/>
      <c r="AB44" s="59"/>
      <c r="AC44" s="12"/>
      <c r="AD44" s="4" t="s">
        <v>125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C45" s="59"/>
      <c r="D45" s="59"/>
      <c r="E45" s="59"/>
      <c r="F45" s="59"/>
      <c r="G45" s="59"/>
      <c r="H45" s="59"/>
      <c r="I45" s="59"/>
      <c r="J45" s="59"/>
      <c r="K45" s="72"/>
      <c r="L45" s="72"/>
      <c r="M45" s="72"/>
      <c r="N45" s="72"/>
      <c r="O45" s="72"/>
      <c r="P45" s="72"/>
      <c r="Q45" s="61" t="s">
        <v>127</v>
      </c>
      <c r="R45" s="59"/>
      <c r="S45" s="59"/>
      <c r="T45" s="59"/>
      <c r="U45" s="59"/>
      <c r="V45" s="59"/>
      <c r="W45" s="59"/>
      <c r="X45" s="59"/>
      <c r="Y45" s="25">
        <f>Q47</f>
        <v>9.6926069240348696</v>
      </c>
      <c r="Z45" s="4" t="s">
        <v>128</v>
      </c>
      <c r="AA45" s="59" t="s">
        <v>129</v>
      </c>
      <c r="AB45" s="59"/>
      <c r="AC45" s="34"/>
      <c r="AD45" s="15" t="s">
        <v>130</v>
      </c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61" t="s">
        <v>126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9">
        <f>Q18-U24</f>
        <v>3537.8015272727271</v>
      </c>
      <c r="R46" s="4" t="s">
        <v>93</v>
      </c>
      <c r="S46" s="59"/>
      <c r="T46" s="59"/>
      <c r="U46" s="59"/>
      <c r="V46" s="59"/>
      <c r="W46" s="59"/>
      <c r="X46" s="59"/>
      <c r="Y46" s="12">
        <v>0.08</v>
      </c>
      <c r="Z46" s="4" t="s">
        <v>123</v>
      </c>
      <c r="AA46" s="59"/>
      <c r="AB46" s="59"/>
      <c r="AC46" s="10">
        <f>AC38*365</f>
        <v>984.02137454545505</v>
      </c>
      <c r="AD46" s="11" t="s">
        <v>131</v>
      </c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42">
        <f>Q46/365</f>
        <v>9.6926069240348696</v>
      </c>
      <c r="R47" s="15" t="s">
        <v>97</v>
      </c>
      <c r="S47" s="59"/>
      <c r="T47" s="59"/>
      <c r="U47" s="59"/>
      <c r="V47" s="59"/>
      <c r="W47" s="59"/>
      <c r="X47" s="59"/>
      <c r="Y47" s="12">
        <v>0.06</v>
      </c>
      <c r="Z47" s="4" t="s">
        <v>125</v>
      </c>
      <c r="AA47" s="59"/>
      <c r="AB47" s="59"/>
      <c r="AC47" s="10">
        <f>AC46*1000/365</f>
        <v>2695.9489713574112</v>
      </c>
      <c r="AD47" s="11" t="s">
        <v>132</v>
      </c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2" t="s">
        <v>133</v>
      </c>
      <c r="C48" s="4"/>
      <c r="D48" s="59"/>
      <c r="E48" s="2" t="s">
        <v>134</v>
      </c>
      <c r="F48" s="2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26">
        <f>Q46*(8/12)</f>
        <v>2358.5343515151512</v>
      </c>
      <c r="R48" s="13" t="s">
        <v>135</v>
      </c>
      <c r="S48" s="59"/>
      <c r="T48" s="59"/>
      <c r="U48" s="59"/>
      <c r="V48" s="59"/>
      <c r="W48" s="59"/>
      <c r="X48" s="59"/>
      <c r="Y48" s="34">
        <v>0.25</v>
      </c>
      <c r="Z48" s="15" t="s">
        <v>130</v>
      </c>
      <c r="AA48" s="59" t="s">
        <v>136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1">
        <v>400</v>
      </c>
      <c r="C49" s="13" t="s">
        <v>25</v>
      </c>
      <c r="D49" s="59"/>
      <c r="E49" s="32">
        <v>1</v>
      </c>
      <c r="F49" s="4" t="s">
        <v>137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26">
        <f>Q46*(10/12)</f>
        <v>2948.1679393939394</v>
      </c>
      <c r="R49" s="13" t="s">
        <v>138</v>
      </c>
      <c r="S49" s="59"/>
      <c r="T49" s="59"/>
      <c r="U49" s="59"/>
      <c r="V49" s="59"/>
      <c r="W49" s="59"/>
      <c r="X49" s="59"/>
      <c r="Y49" s="25">
        <f>Y45*0.9</f>
        <v>8.7233462316313837</v>
      </c>
      <c r="Z49" s="4" t="s">
        <v>139</v>
      </c>
      <c r="AA49" s="59"/>
      <c r="AB49" s="59"/>
      <c r="AC49" s="3" t="s">
        <v>167</v>
      </c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12">
        <v>0.35</v>
      </c>
      <c r="C50" s="4" t="s">
        <v>28</v>
      </c>
      <c r="D50" s="59"/>
      <c r="E50" s="32">
        <v>1.5</v>
      </c>
      <c r="F50" s="4" t="s">
        <v>108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37">
        <f>Y45*0.1</f>
        <v>0.969260692403487</v>
      </c>
      <c r="Z50" s="4" t="s">
        <v>140</v>
      </c>
      <c r="AA50" s="59"/>
      <c r="AB50" s="59"/>
      <c r="AC50" s="61"/>
      <c r="AD50" s="59"/>
      <c r="AE50" s="59"/>
      <c r="AF50" s="77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12">
        <v>0.97</v>
      </c>
      <c r="C51" s="4" t="s">
        <v>32</v>
      </c>
      <c r="D51" s="59"/>
      <c r="E51" s="40">
        <f>B49/E49</f>
        <v>400</v>
      </c>
      <c r="F51" s="4" t="s">
        <v>110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26">
        <f>Y49*365</f>
        <v>3184.0213745454548</v>
      </c>
      <c r="Z51" s="13" t="s">
        <v>141</v>
      </c>
      <c r="AA51" s="59" t="s">
        <v>129</v>
      </c>
      <c r="AB51" s="59"/>
      <c r="AC51" s="78"/>
      <c r="AD51" s="59"/>
      <c r="AE51" s="59"/>
      <c r="AF51" s="7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20">
        <v>301</v>
      </c>
      <c r="C52" s="15" t="s">
        <v>36</v>
      </c>
      <c r="D52" s="59"/>
      <c r="E52" s="14">
        <v>10</v>
      </c>
      <c r="F52" s="13" t="s">
        <v>113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26">
        <f>Y50*365</f>
        <v>353.78015272727276</v>
      </c>
      <c r="Z52" s="13" t="s">
        <v>142</v>
      </c>
      <c r="AA52" s="59"/>
      <c r="AB52" s="59"/>
      <c r="AC52" s="80"/>
      <c r="AD52" s="59"/>
      <c r="AE52" s="59"/>
      <c r="AF52" s="67"/>
      <c r="AG52" s="61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4">
        <f>(B49*B50)*B51</f>
        <v>135.79999999999998</v>
      </c>
      <c r="C53" s="4" t="s">
        <v>39</v>
      </c>
      <c r="D53" s="59"/>
      <c r="E53" s="9">
        <f>E52*E50/((B49/E49)/365)</f>
        <v>13.6875</v>
      </c>
      <c r="F53" s="4" t="s">
        <v>114</v>
      </c>
      <c r="G53" s="59"/>
      <c r="H53" s="59"/>
      <c r="I53" s="59"/>
      <c r="J53" s="61"/>
      <c r="K53" s="61"/>
      <c r="L53" s="61"/>
      <c r="M53" s="61"/>
      <c r="N53" s="61"/>
      <c r="O53" s="61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7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9">
        <f>(B52*B53*1000/1000)/B49</f>
        <v>102.1895</v>
      </c>
      <c r="C54" s="4" t="s">
        <v>86</v>
      </c>
      <c r="D54" s="59" t="s">
        <v>116</v>
      </c>
      <c r="E54" s="59"/>
      <c r="F54" s="59"/>
      <c r="G54" s="59"/>
      <c r="H54" s="59"/>
      <c r="I54" s="59"/>
      <c r="J54" s="63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7"/>
      <c r="AD54" s="61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25">
        <f>B54*U22</f>
        <v>1018.8293150000001</v>
      </c>
      <c r="C55" s="4" t="s">
        <v>48</v>
      </c>
      <c r="D55" s="59"/>
      <c r="E55" s="59"/>
      <c r="F55" s="59"/>
      <c r="G55" s="59"/>
      <c r="H55" s="59"/>
      <c r="I55" s="59"/>
      <c r="J55" s="66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9">
        <f>B55*B49</f>
        <v>407531.72600000002</v>
      </c>
      <c r="C56" s="4" t="s">
        <v>9</v>
      </c>
      <c r="D56" s="59"/>
      <c r="E56" s="59"/>
      <c r="F56" s="59"/>
      <c r="G56" s="59"/>
      <c r="H56" s="59"/>
      <c r="I56" s="59"/>
      <c r="J56" s="64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79"/>
      <c r="L57" s="79"/>
      <c r="M57" s="79"/>
      <c r="N57" s="79"/>
      <c r="O57" s="7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79"/>
      <c r="L58" s="79"/>
      <c r="M58" s="79"/>
      <c r="N58" s="79"/>
      <c r="O58" s="7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9"/>
      <c r="B59" s="61"/>
      <c r="C59" s="59"/>
      <c r="D59" s="59"/>
      <c r="E59" s="59"/>
      <c r="F59" s="59"/>
      <c r="G59" s="59"/>
      <c r="H59" s="59"/>
      <c r="I59" s="59"/>
      <c r="J59" s="59"/>
      <c r="K59" s="79"/>
      <c r="L59" s="79"/>
      <c r="M59" s="79"/>
      <c r="N59" s="79"/>
      <c r="O59" s="7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67" t="s">
        <v>143</v>
      </c>
      <c r="AD59" s="61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9"/>
      <c r="B60" s="63"/>
      <c r="C60" s="59"/>
      <c r="D60" s="59"/>
      <c r="E60" s="59"/>
      <c r="F60" s="59"/>
      <c r="G60" s="59"/>
      <c r="H60" s="59"/>
      <c r="I60" s="59"/>
      <c r="J60" s="59"/>
      <c r="K60" s="79"/>
      <c r="L60" s="79"/>
      <c r="M60" s="79"/>
      <c r="N60" s="79"/>
      <c r="O60" s="7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41">
        <f>B63/365</f>
        <v>6.0273972602739727</v>
      </c>
      <c r="AD60" s="4" t="s">
        <v>144</v>
      </c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9"/>
      <c r="B61" s="79"/>
      <c r="C61" s="59"/>
      <c r="D61" s="59"/>
      <c r="E61" s="59"/>
      <c r="F61" s="59"/>
      <c r="G61" s="59"/>
      <c r="H61" s="59"/>
      <c r="I61" s="59" t="s">
        <v>37</v>
      </c>
      <c r="J61" s="59"/>
      <c r="K61" s="79"/>
      <c r="L61" s="79"/>
      <c r="M61" s="79"/>
      <c r="N61" s="79"/>
      <c r="O61" s="7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10">
        <f>AC60*365</f>
        <v>2200</v>
      </c>
      <c r="AD61" s="11" t="s">
        <v>145</v>
      </c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9"/>
      <c r="B62" s="43" t="s">
        <v>146</v>
      </c>
      <c r="C62" s="44"/>
      <c r="D62" s="59"/>
      <c r="E62" s="2" t="s">
        <v>147</v>
      </c>
      <c r="F62" s="2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9"/>
      <c r="B63" s="1">
        <v>2200</v>
      </c>
      <c r="C63" s="13" t="s">
        <v>25</v>
      </c>
      <c r="D63" s="59"/>
      <c r="E63" s="14">
        <v>100</v>
      </c>
      <c r="F63" s="13" t="s">
        <v>26</v>
      </c>
      <c r="G63" s="59"/>
      <c r="H63" s="59"/>
      <c r="I63" s="59"/>
      <c r="J63" s="59"/>
      <c r="K63" s="64"/>
      <c r="L63" s="64"/>
      <c r="M63" s="64"/>
      <c r="N63" s="64"/>
      <c r="O63" s="64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9"/>
      <c r="B64" s="45"/>
      <c r="C64" s="44" t="s">
        <v>28</v>
      </c>
      <c r="D64" s="59"/>
      <c r="E64" s="9">
        <f>E63/(B63/365)</f>
        <v>16.59090909090909</v>
      </c>
      <c r="F64" s="4" t="s">
        <v>29</v>
      </c>
      <c r="G64" s="59"/>
      <c r="H64" s="59"/>
      <c r="I64" s="59"/>
      <c r="J64" s="59"/>
      <c r="K64" s="72"/>
      <c r="L64" s="72"/>
      <c r="M64" s="72"/>
      <c r="N64" s="72"/>
      <c r="O64" s="72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9"/>
      <c r="B65" s="45"/>
      <c r="C65" s="44" t="s">
        <v>32</v>
      </c>
      <c r="D65" s="59"/>
      <c r="E65" s="59"/>
      <c r="F65" s="59"/>
      <c r="G65" s="59"/>
      <c r="H65" s="59"/>
      <c r="I65" s="59"/>
      <c r="J65" s="59"/>
      <c r="K65" s="64"/>
      <c r="L65" s="64"/>
      <c r="M65" s="64"/>
      <c r="N65" s="64"/>
      <c r="O65" s="64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>
        <v>4029</v>
      </c>
    </row>
    <row r="66" spans="1:45" x14ac:dyDescent="0.25">
      <c r="A66" s="59"/>
      <c r="B66" s="46">
        <v>0</v>
      </c>
      <c r="C66" s="47" t="s">
        <v>36</v>
      </c>
      <c r="D66" s="59" t="s">
        <v>37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9"/>
      <c r="B67" s="44">
        <f>(B63*B64)*B65</f>
        <v>0</v>
      </c>
      <c r="C67" s="44" t="s">
        <v>39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 t="s">
        <v>148</v>
      </c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9"/>
      <c r="B68" s="48">
        <f>(B66*B67*1000/1000)/B63</f>
        <v>0</v>
      </c>
      <c r="C68" s="44" t="s">
        <v>86</v>
      </c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9"/>
      <c r="B69" s="49">
        <f>B68/10</f>
        <v>0</v>
      </c>
      <c r="C69" s="44" t="s">
        <v>48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9"/>
      <c r="B70" s="48">
        <f>B69*B63</f>
        <v>0</v>
      </c>
      <c r="C70" s="44" t="s">
        <v>9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2" t="s">
        <v>149</v>
      </c>
      <c r="R71" s="4"/>
      <c r="S71" s="59"/>
      <c r="T71" s="59"/>
      <c r="U71" s="61"/>
      <c r="V71" s="59"/>
      <c r="W71" s="59"/>
      <c r="X71" s="59"/>
      <c r="Y71" s="59"/>
      <c r="Z71" s="59"/>
      <c r="AA71" s="59"/>
      <c r="AB71" s="59"/>
      <c r="AC71" s="2" t="s">
        <v>165</v>
      </c>
      <c r="AD71" s="2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</row>
    <row r="72" spans="1:45" x14ac:dyDescent="0.25">
      <c r="A72" s="59"/>
      <c r="B72" s="59"/>
      <c r="C72" s="59"/>
      <c r="D72" s="59"/>
      <c r="E72" s="59"/>
      <c r="F72" s="59"/>
      <c r="G72" s="59"/>
      <c r="H72" s="59" t="s">
        <v>116</v>
      </c>
      <c r="I72" s="59"/>
      <c r="J72" s="59"/>
      <c r="K72" s="59"/>
      <c r="L72" s="59"/>
      <c r="M72" s="59"/>
      <c r="N72" s="59"/>
      <c r="O72" s="59"/>
      <c r="P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</row>
    <row r="73" spans="1:45" x14ac:dyDescent="0.25">
      <c r="A73" s="59"/>
      <c r="B73" s="59"/>
      <c r="C73" s="59"/>
      <c r="D73" s="59"/>
      <c r="E73" s="59"/>
      <c r="F73" s="59"/>
      <c r="G73" s="50" t="s">
        <v>150</v>
      </c>
      <c r="H73" s="51"/>
      <c r="I73" s="51"/>
      <c r="J73" s="51"/>
      <c r="K73" s="59"/>
      <c r="L73" s="59"/>
      <c r="M73" s="59"/>
      <c r="N73" s="59"/>
      <c r="O73" s="59"/>
      <c r="P73" s="59"/>
      <c r="Q73" s="50" t="s">
        <v>151</v>
      </c>
      <c r="R73" s="51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</row>
    <row r="74" spans="1:45" x14ac:dyDescent="0.25">
      <c r="A74" s="59"/>
      <c r="B74" s="59"/>
      <c r="C74" s="59"/>
      <c r="D74" s="59"/>
      <c r="E74" s="59"/>
      <c r="F74" s="59"/>
      <c r="G74" s="52">
        <v>0.43</v>
      </c>
      <c r="H74" s="51" t="s">
        <v>152</v>
      </c>
      <c r="I74" s="51"/>
      <c r="J74" s="51"/>
      <c r="K74" s="59"/>
      <c r="L74" s="59"/>
      <c r="M74" s="59"/>
      <c r="N74" s="59"/>
      <c r="O74" s="59"/>
      <c r="P74" s="59"/>
      <c r="Q74" s="52">
        <v>0.56999999999999995</v>
      </c>
      <c r="R74" s="51" t="s">
        <v>153</v>
      </c>
      <c r="S74" s="59"/>
      <c r="T74" s="59"/>
      <c r="U74" s="81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</row>
    <row r="75" spans="1:45" x14ac:dyDescent="0.25">
      <c r="A75" s="59"/>
      <c r="B75" s="59"/>
      <c r="C75" s="59"/>
      <c r="D75" s="59"/>
      <c r="E75" s="59"/>
      <c r="F75" s="59"/>
      <c r="G75" s="53">
        <v>0.55000000000000004</v>
      </c>
      <c r="H75" s="51" t="s">
        <v>28</v>
      </c>
      <c r="I75" s="51"/>
      <c r="J75" s="51"/>
      <c r="K75" s="59"/>
      <c r="L75" s="59"/>
      <c r="M75" s="59"/>
      <c r="N75" s="59"/>
      <c r="O75" s="59"/>
      <c r="P75" s="59"/>
      <c r="Q75" s="53">
        <v>0.11</v>
      </c>
      <c r="R75" s="51" t="s">
        <v>28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</row>
    <row r="76" spans="1:45" x14ac:dyDescent="0.25">
      <c r="A76" s="59"/>
      <c r="B76" s="59"/>
      <c r="C76" s="59"/>
      <c r="D76" s="59"/>
      <c r="E76" s="59"/>
      <c r="F76" s="59"/>
      <c r="G76" s="53">
        <v>0.97</v>
      </c>
      <c r="H76" s="51" t="s">
        <v>32</v>
      </c>
      <c r="I76" s="51"/>
      <c r="J76" s="51"/>
      <c r="K76" s="59"/>
      <c r="L76" s="59"/>
      <c r="M76" s="59"/>
      <c r="N76" s="59"/>
      <c r="O76" s="59"/>
      <c r="P76" s="59"/>
      <c r="Q76" s="53">
        <v>0.78</v>
      </c>
      <c r="R76" s="51" t="s">
        <v>32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</row>
    <row r="77" spans="1:45" x14ac:dyDescent="0.25">
      <c r="A77" s="59"/>
      <c r="B77" s="59"/>
      <c r="C77" s="59"/>
      <c r="D77" s="59"/>
      <c r="E77" s="59"/>
      <c r="F77" s="59"/>
      <c r="G77" s="54">
        <v>264</v>
      </c>
      <c r="H77" s="51" t="s">
        <v>36</v>
      </c>
      <c r="I77" s="51"/>
      <c r="J77" s="51"/>
      <c r="K77" s="59"/>
      <c r="L77" s="59"/>
      <c r="M77" s="59"/>
      <c r="N77" s="59"/>
      <c r="O77" s="59"/>
      <c r="P77" s="59"/>
      <c r="Q77" s="54">
        <v>394</v>
      </c>
      <c r="R77" s="51" t="s">
        <v>36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1" t="s">
        <v>154</v>
      </c>
      <c r="AD77" s="61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45" x14ac:dyDescent="0.25">
      <c r="A78" s="59"/>
      <c r="B78" s="59"/>
      <c r="C78" s="59"/>
      <c r="D78" s="59"/>
      <c r="E78" s="59"/>
      <c r="F78" s="59"/>
      <c r="G78" s="55">
        <v>0.56000000000000005</v>
      </c>
      <c r="H78" s="56" t="s">
        <v>155</v>
      </c>
      <c r="I78" s="56"/>
      <c r="J78" s="56"/>
      <c r="K78" s="59"/>
      <c r="L78" s="59"/>
      <c r="M78" s="59"/>
      <c r="N78" s="59"/>
      <c r="O78" s="59"/>
      <c r="P78" s="59"/>
      <c r="Q78" s="55">
        <v>0.44</v>
      </c>
      <c r="R78" s="56" t="s">
        <v>156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10">
        <f>Q79</f>
        <v>285</v>
      </c>
      <c r="AD78" s="11" t="s">
        <v>157</v>
      </c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45" x14ac:dyDescent="0.25">
      <c r="A79" s="59"/>
      <c r="B79" s="59"/>
      <c r="C79" s="59"/>
      <c r="D79" s="59"/>
      <c r="E79" s="59"/>
      <c r="F79" s="59"/>
      <c r="G79" s="10">
        <f>B84*G74</f>
        <v>215</v>
      </c>
      <c r="H79" s="11" t="s">
        <v>158</v>
      </c>
      <c r="I79" s="11"/>
      <c r="J79" s="11"/>
      <c r="K79" s="59"/>
      <c r="L79" s="59"/>
      <c r="M79" s="59"/>
      <c r="N79" s="59"/>
      <c r="O79" s="59"/>
      <c r="P79" s="59"/>
      <c r="Q79" s="10">
        <f>B84*Q74</f>
        <v>285</v>
      </c>
      <c r="R79" s="11" t="s">
        <v>158</v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10">
        <f>Q84</f>
        <v>11.88</v>
      </c>
      <c r="AD79" s="11" t="s">
        <v>159</v>
      </c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45" x14ac:dyDescent="0.25">
      <c r="A80" s="59"/>
      <c r="B80" s="59"/>
      <c r="C80" s="59"/>
      <c r="D80" s="59"/>
      <c r="E80" s="59"/>
      <c r="F80" s="59"/>
      <c r="G80" s="57">
        <f>(G79*G75)*G76</f>
        <v>114.70250000000001</v>
      </c>
      <c r="H80" s="51" t="s">
        <v>39</v>
      </c>
      <c r="I80" s="51"/>
      <c r="J80" s="51"/>
      <c r="K80" s="59"/>
      <c r="L80" s="59"/>
      <c r="M80" s="59"/>
      <c r="N80" s="59"/>
      <c r="O80" s="59"/>
      <c r="P80" s="59"/>
      <c r="Q80" s="57">
        <f>(Q79*Q75)*Q76</f>
        <v>24.453000000000003</v>
      </c>
      <c r="R80" s="51" t="s">
        <v>39</v>
      </c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45" x14ac:dyDescent="0.25">
      <c r="A81" s="59"/>
      <c r="B81" s="59"/>
      <c r="C81" s="59"/>
      <c r="D81" s="59"/>
      <c r="E81" s="59"/>
      <c r="F81" s="59"/>
      <c r="G81" s="58">
        <f>(G77*G80*1000/1000)/G79</f>
        <v>140.84400000000002</v>
      </c>
      <c r="H81" s="51" t="s">
        <v>86</v>
      </c>
      <c r="I81" s="51"/>
      <c r="J81" s="51"/>
      <c r="K81" s="59"/>
      <c r="L81" s="59"/>
      <c r="M81" s="59"/>
      <c r="N81" s="59"/>
      <c r="O81" s="59"/>
      <c r="P81" s="59"/>
      <c r="Q81" s="58">
        <f>(Q77*Q80*1000/1000)/Q79</f>
        <v>33.805200000000006</v>
      </c>
      <c r="R81" s="51" t="s">
        <v>86</v>
      </c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45" x14ac:dyDescent="0.25">
      <c r="A82" s="59"/>
      <c r="B82" s="59"/>
      <c r="C82" s="59"/>
      <c r="D82" s="59"/>
      <c r="E82" s="59"/>
      <c r="F82" s="59"/>
      <c r="G82" s="57">
        <f>G81*U22</f>
        <v>1404.2146800000003</v>
      </c>
      <c r="H82" s="51" t="s">
        <v>48</v>
      </c>
      <c r="I82" s="51"/>
      <c r="J82" s="51"/>
      <c r="K82" s="59"/>
      <c r="L82" s="59"/>
      <c r="M82" s="59"/>
      <c r="N82" s="59"/>
      <c r="O82" s="59"/>
      <c r="P82" s="59"/>
      <c r="Q82" s="57">
        <f>Q81*U22</f>
        <v>337.03784400000006</v>
      </c>
      <c r="R82" s="51" t="s">
        <v>48</v>
      </c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</row>
    <row r="83" spans="1:45" x14ac:dyDescent="0.25">
      <c r="A83" s="59"/>
      <c r="B83" s="50" t="s">
        <v>160</v>
      </c>
      <c r="C83" s="51"/>
      <c r="D83" s="59"/>
      <c r="E83" s="59"/>
      <c r="F83" s="59"/>
      <c r="G83" s="58">
        <f>G82*G79</f>
        <v>301906.15620000008</v>
      </c>
      <c r="H83" s="51" t="s">
        <v>9</v>
      </c>
      <c r="I83" s="51"/>
      <c r="J83" s="51"/>
      <c r="K83" s="59"/>
      <c r="L83" s="59"/>
      <c r="M83" s="59"/>
      <c r="N83" s="59"/>
      <c r="O83" s="59"/>
      <c r="P83" s="59"/>
      <c r="Q83" s="58">
        <f>Q82*Q79</f>
        <v>96055.785540000012</v>
      </c>
      <c r="R83" s="51" t="s">
        <v>9</v>
      </c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</row>
    <row r="84" spans="1:45" x14ac:dyDescent="0.25">
      <c r="A84" s="59"/>
      <c r="B84" s="1">
        <v>500</v>
      </c>
      <c r="C84" s="13" t="s">
        <v>25</v>
      </c>
      <c r="D84" s="59"/>
      <c r="E84" s="59"/>
      <c r="F84" s="59"/>
      <c r="G84" s="11">
        <f>G78*B93</f>
        <v>15.120000000000001</v>
      </c>
      <c r="H84" s="11" t="s">
        <v>161</v>
      </c>
      <c r="I84" s="11"/>
      <c r="J84" s="11"/>
      <c r="K84" s="59"/>
      <c r="L84" s="59"/>
      <c r="M84" s="59"/>
      <c r="N84" s="59"/>
      <c r="O84" s="59"/>
      <c r="P84" s="59"/>
      <c r="Q84" s="10">
        <f>B93*Q78</f>
        <v>11.88</v>
      </c>
      <c r="R84" s="11" t="s">
        <v>162</v>
      </c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</row>
    <row r="85" spans="1:45" x14ac:dyDescent="0.25">
      <c r="A85" s="59"/>
      <c r="B85" s="53">
        <v>0.3</v>
      </c>
      <c r="C85" s="51" t="s">
        <v>28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</row>
    <row r="86" spans="1:45" x14ac:dyDescent="0.25">
      <c r="A86" s="59"/>
      <c r="B86" s="53">
        <v>0.93</v>
      </c>
      <c r="C86" s="51" t="s">
        <v>32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45" x14ac:dyDescent="0.25">
      <c r="A87" s="59"/>
      <c r="B87" s="54">
        <v>292</v>
      </c>
      <c r="C87" s="51" t="s">
        <v>36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</row>
    <row r="88" spans="1:45" x14ac:dyDescent="0.25">
      <c r="A88" s="59"/>
      <c r="B88" s="55">
        <v>0.18</v>
      </c>
      <c r="C88" s="56" t="s">
        <v>163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45" x14ac:dyDescent="0.25">
      <c r="A89" s="59"/>
      <c r="B89" s="57">
        <f>(B84*B85)*B86</f>
        <v>139.5</v>
      </c>
      <c r="C89" s="51" t="s">
        <v>39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</row>
    <row r="90" spans="1:45" x14ac:dyDescent="0.25">
      <c r="A90" s="59"/>
      <c r="B90" s="58">
        <f>(B87*B89*1000/1000)/B84</f>
        <v>81.468000000000004</v>
      </c>
      <c r="C90" s="51" t="s">
        <v>86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</row>
    <row r="91" spans="1:45" x14ac:dyDescent="0.25">
      <c r="A91" s="59"/>
      <c r="B91" s="57">
        <f>B90*U22</f>
        <v>812.23596000000009</v>
      </c>
      <c r="C91" s="51" t="s">
        <v>48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</row>
    <row r="92" spans="1:45" x14ac:dyDescent="0.25">
      <c r="A92" s="59"/>
      <c r="B92" s="58">
        <f>B91*B84</f>
        <v>406117.98000000004</v>
      </c>
      <c r="C92" s="51" t="s">
        <v>9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61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</row>
    <row r="93" spans="1:45" x14ac:dyDescent="0.25">
      <c r="A93" s="59"/>
      <c r="B93" s="11">
        <f>B88*(B84*B85)</f>
        <v>27</v>
      </c>
      <c r="C93" s="11" t="s">
        <v>164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</row>
    <row r="94" spans="1:45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</row>
    <row r="95" spans="1:45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</row>
    <row r="96" spans="1:45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</row>
    <row r="97" spans="1:45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59"/>
      <c r="AQ97" s="59"/>
      <c r="AR97" s="59"/>
      <c r="AS97" s="59"/>
    </row>
    <row r="98" spans="1:45" s="59" customFormat="1" x14ac:dyDescent="0.25"/>
    <row r="99" spans="1:45" s="59" customFormat="1" x14ac:dyDescent="0.25">
      <c r="AH99" s="82"/>
      <c r="AI99" s="82"/>
      <c r="AJ99" s="83"/>
      <c r="AK99" s="83"/>
      <c r="AL99" s="82"/>
      <c r="AM99" s="82"/>
    </row>
    <row r="100" spans="1:45" s="59" customFormat="1" x14ac:dyDescent="0.25"/>
    <row r="101" spans="1:45" s="59" customFormat="1" x14ac:dyDescent="0.25"/>
    <row r="102" spans="1:45" s="59" customFormat="1" x14ac:dyDescent="0.25">
      <c r="AJ102" s="61"/>
      <c r="AK102" s="61"/>
    </row>
    <row r="103" spans="1:45" s="59" customFormat="1" x14ac:dyDescent="0.25">
      <c r="AJ103" s="84"/>
      <c r="AK103" s="84"/>
    </row>
    <row r="104" spans="1:45" s="59" customFormat="1" x14ac:dyDescent="0.25">
      <c r="AJ104" s="85"/>
      <c r="AK104" s="85"/>
    </row>
    <row r="105" spans="1:45" s="59" customFormat="1" x14ac:dyDescent="0.25"/>
    <row r="106" spans="1:45" s="59" customFormat="1" x14ac:dyDescent="0.25"/>
    <row r="107" spans="1:45" s="59" customFormat="1" x14ac:dyDescent="0.25">
      <c r="AL107" s="61"/>
      <c r="AM107" s="61"/>
    </row>
    <row r="108" spans="1:45" s="59" customFormat="1" x14ac:dyDescent="0.25">
      <c r="AL108" s="84"/>
      <c r="AM108" s="84"/>
    </row>
    <row r="109" spans="1:45" s="59" customFormat="1" x14ac:dyDescent="0.25">
      <c r="AL109" s="82"/>
      <c r="AM109" s="82"/>
    </row>
    <row r="110" spans="1:45" s="59" customFormat="1" x14ac:dyDescent="0.25"/>
    <row r="111" spans="1:45" s="59" customFormat="1" x14ac:dyDescent="0.25"/>
    <row r="112" spans="1:45" s="59" customFormat="1" x14ac:dyDescent="0.25">
      <c r="AL112" s="86"/>
      <c r="AM112" s="86"/>
    </row>
    <row r="113" spans="4:39" s="59" customFormat="1" x14ac:dyDescent="0.25"/>
    <row r="114" spans="4:39" s="59" customFormat="1" x14ac:dyDescent="0.25"/>
    <row r="115" spans="4:39" s="59" customFormat="1" x14ac:dyDescent="0.25"/>
    <row r="116" spans="4:39" s="59" customFormat="1" x14ac:dyDescent="0.25"/>
    <row r="117" spans="4:39" s="59" customFormat="1" x14ac:dyDescent="0.25">
      <c r="AH117" s="86"/>
      <c r="AI117" s="86"/>
      <c r="AL117" s="86"/>
      <c r="AM117" s="86"/>
    </row>
    <row r="118" spans="4:39" s="59" customFormat="1" x14ac:dyDescent="0.25">
      <c r="AH118" s="84"/>
      <c r="AI118" s="84"/>
      <c r="AK118" s="87"/>
      <c r="AL118" s="84"/>
      <c r="AM118" s="84"/>
    </row>
    <row r="119" spans="4:39" s="59" customFormat="1" x14ac:dyDescent="0.25">
      <c r="AH119" s="82"/>
      <c r="AI119" s="82"/>
      <c r="AL119" s="82"/>
      <c r="AM119" s="82"/>
    </row>
    <row r="120" spans="4:39" s="59" customFormat="1" x14ac:dyDescent="0.25"/>
    <row r="121" spans="4:39" s="59" customFormat="1" x14ac:dyDescent="0.25"/>
    <row r="122" spans="4:39" s="59" customFormat="1" x14ac:dyDescent="0.25">
      <c r="D122" s="75"/>
    </row>
    <row r="123" spans="4:39" s="59" customFormat="1" x14ac:dyDescent="0.25">
      <c r="D123" s="75"/>
    </row>
    <row r="124" spans="4:39" s="59" customFormat="1" x14ac:dyDescent="0.25">
      <c r="D124" s="75"/>
    </row>
    <row r="125" spans="4:39" s="59" customFormat="1" x14ac:dyDescent="0.25">
      <c r="D125" s="75"/>
    </row>
    <row r="126" spans="4:39" s="59" customFormat="1" x14ac:dyDescent="0.25">
      <c r="D126" s="75"/>
    </row>
    <row r="127" spans="4:39" s="59" customFormat="1" x14ac:dyDescent="0.25">
      <c r="D127" s="75"/>
    </row>
    <row r="128" spans="4:39" s="59" customFormat="1" x14ac:dyDescent="0.25"/>
    <row r="129" spans="4:40" s="59" customFormat="1" x14ac:dyDescent="0.25"/>
    <row r="130" spans="4:40" s="59" customFormat="1" x14ac:dyDescent="0.25"/>
    <row r="131" spans="4:40" s="59" customFormat="1" x14ac:dyDescent="0.25"/>
    <row r="132" spans="4:40" s="59" customFormat="1" x14ac:dyDescent="0.25"/>
    <row r="133" spans="4:40" s="59" customFormat="1" x14ac:dyDescent="0.25"/>
    <row r="134" spans="4:40" s="59" customFormat="1" x14ac:dyDescent="0.25"/>
    <row r="135" spans="4:40" s="59" customFormat="1" x14ac:dyDescent="0.25"/>
    <row r="136" spans="4:40" s="59" customFormat="1" x14ac:dyDescent="0.25"/>
    <row r="137" spans="4:40" s="59" customFormat="1" x14ac:dyDescent="0.25"/>
    <row r="138" spans="4:40" s="59" customFormat="1" x14ac:dyDescent="0.25"/>
    <row r="139" spans="4:40" s="59" customFormat="1" x14ac:dyDescent="0.25"/>
    <row r="140" spans="4:40" s="59" customFormat="1" x14ac:dyDescent="0.25"/>
    <row r="141" spans="4:40" s="59" customFormat="1" x14ac:dyDescent="0.25"/>
    <row r="142" spans="4:40" s="59" customFormat="1" ht="21" x14ac:dyDescent="0.35">
      <c r="AJ142" s="88"/>
    </row>
    <row r="143" spans="4:40" s="59" customFormat="1" x14ac:dyDescent="0.25">
      <c r="D143" s="74"/>
    </row>
    <row r="144" spans="4:40" s="59" customFormat="1" x14ac:dyDescent="0.25">
      <c r="D144" s="74"/>
      <c r="AN144" s="89"/>
    </row>
    <row r="145" spans="4:4" s="59" customFormat="1" x14ac:dyDescent="0.25">
      <c r="D145" s="74"/>
    </row>
    <row r="146" spans="4:4" s="59" customFormat="1" x14ac:dyDescent="0.25">
      <c r="D146" s="74"/>
    </row>
    <row r="147" spans="4:4" s="59" customFormat="1" x14ac:dyDescent="0.25">
      <c r="D147" s="74"/>
    </row>
    <row r="148" spans="4:4" s="59" customFormat="1" x14ac:dyDescent="0.25">
      <c r="D148" s="74"/>
    </row>
    <row r="149" spans="4:4" s="59" customFormat="1" x14ac:dyDescent="0.25">
      <c r="D149" s="74"/>
    </row>
    <row r="150" spans="4:4" s="59" customFormat="1" x14ac:dyDescent="0.25"/>
    <row r="151" spans="4:4" s="59" customFormat="1" x14ac:dyDescent="0.25"/>
    <row r="152" spans="4:4" s="59" customFormat="1" x14ac:dyDescent="0.25"/>
    <row r="153" spans="4:4" s="59" customFormat="1" x14ac:dyDescent="0.25"/>
    <row r="154" spans="4:4" s="59" customFormat="1" x14ac:dyDescent="0.25"/>
    <row r="155" spans="4:4" s="59" customFormat="1" x14ac:dyDescent="0.25"/>
    <row r="156" spans="4:4" s="59" customFormat="1" x14ac:dyDescent="0.25"/>
    <row r="157" spans="4:4" s="59" customFormat="1" x14ac:dyDescent="0.25"/>
    <row r="158" spans="4:4" s="59" customFormat="1" x14ac:dyDescent="0.25"/>
    <row r="159" spans="4:4" s="59" customFormat="1" x14ac:dyDescent="0.25"/>
    <row r="160" spans="4:4" s="59" customFormat="1" x14ac:dyDescent="0.25"/>
    <row r="161" s="59" customFormat="1" x14ac:dyDescent="0.25"/>
    <row r="162" s="59" customFormat="1" x14ac:dyDescent="0.25"/>
    <row r="163" s="59" customFormat="1" x14ac:dyDescent="0.25"/>
    <row r="164" s="59" customFormat="1" x14ac:dyDescent="0.25"/>
    <row r="165" s="59" customFormat="1" x14ac:dyDescent="0.25"/>
    <row r="166" s="59" customFormat="1" x14ac:dyDescent="0.25"/>
    <row r="167" s="59" customFormat="1" x14ac:dyDescent="0.25"/>
    <row r="168" s="59" customFormat="1" x14ac:dyDescent="0.25"/>
    <row r="169" s="59" customFormat="1" x14ac:dyDescent="0.25"/>
    <row r="170" s="59" customFormat="1" x14ac:dyDescent="0.25"/>
    <row r="171" s="59" customFormat="1" x14ac:dyDescent="0.25"/>
    <row r="172" s="59" customFormat="1" x14ac:dyDescent="0.25"/>
    <row r="173" s="59" customFormat="1" x14ac:dyDescent="0.25"/>
    <row r="174" s="59" customFormat="1" x14ac:dyDescent="0.25"/>
    <row r="175" s="59" customFormat="1" x14ac:dyDescent="0.25"/>
    <row r="176" s="59" customFormat="1" x14ac:dyDescent="0.25"/>
    <row r="177" s="59" customFormat="1" x14ac:dyDescent="0.25"/>
    <row r="178" s="59" customFormat="1" x14ac:dyDescent="0.25"/>
    <row r="179" s="59" customFormat="1" x14ac:dyDescent="0.25"/>
    <row r="180" s="59" customFormat="1" x14ac:dyDescent="0.25"/>
    <row r="181" s="59" customFormat="1" x14ac:dyDescent="0.25"/>
    <row r="182" s="59" customFormat="1" x14ac:dyDescent="0.25"/>
    <row r="183" s="59" customFormat="1" x14ac:dyDescent="0.25"/>
    <row r="184" s="59" customFormat="1" x14ac:dyDescent="0.25"/>
    <row r="185" s="59" customFormat="1" x14ac:dyDescent="0.25"/>
    <row r="186" s="59" customFormat="1" x14ac:dyDescent="0.25"/>
    <row r="187" s="59" customFormat="1" x14ac:dyDescent="0.25"/>
    <row r="188" s="59" customFormat="1" x14ac:dyDescent="0.25"/>
    <row r="189" s="59" customFormat="1" x14ac:dyDescent="0.25"/>
    <row r="190" s="59" customFormat="1" x14ac:dyDescent="0.25"/>
    <row r="191" s="59" customFormat="1" x14ac:dyDescent="0.25"/>
    <row r="192" s="59" customFormat="1" x14ac:dyDescent="0.25"/>
    <row r="193" s="59" customFormat="1" x14ac:dyDescent="0.25"/>
    <row r="194" s="59" customFormat="1" x14ac:dyDescent="0.25"/>
    <row r="195" s="59" customFormat="1" x14ac:dyDescent="0.25"/>
    <row r="196" s="59" customFormat="1" x14ac:dyDescent="0.25"/>
    <row r="197" s="59" customFormat="1" x14ac:dyDescent="0.25"/>
    <row r="198" s="59" customFormat="1" x14ac:dyDescent="0.25"/>
    <row r="199" s="59" customFormat="1" x14ac:dyDescent="0.25"/>
    <row r="200" s="59" customFormat="1" x14ac:dyDescent="0.25"/>
    <row r="201" s="59" customFormat="1" x14ac:dyDescent="0.25"/>
    <row r="202" s="59" customFormat="1" x14ac:dyDescent="0.25"/>
    <row r="203" s="59" customFormat="1" x14ac:dyDescent="0.25"/>
    <row r="204" s="59" customFormat="1" x14ac:dyDescent="0.25"/>
    <row r="205" s="59" customFormat="1" x14ac:dyDescent="0.25"/>
    <row r="206" s="59" customFormat="1" x14ac:dyDescent="0.25"/>
    <row r="207" s="59" customFormat="1" x14ac:dyDescent="0.25"/>
    <row r="208" s="59" customFormat="1" x14ac:dyDescent="0.25"/>
    <row r="209" s="59" customFormat="1" x14ac:dyDescent="0.25"/>
    <row r="210" s="59" customFormat="1" x14ac:dyDescent="0.25"/>
    <row r="211" s="59" customFormat="1" x14ac:dyDescent="0.25"/>
    <row r="212" s="59" customFormat="1" x14ac:dyDescent="0.25"/>
    <row r="213" s="59" customFormat="1" x14ac:dyDescent="0.25"/>
    <row r="214" s="59" customFormat="1" x14ac:dyDescent="0.25"/>
    <row r="215" s="59" customFormat="1" x14ac:dyDescent="0.25"/>
    <row r="216" s="59" customFormat="1" x14ac:dyDescent="0.25"/>
    <row r="217" s="59" customFormat="1" x14ac:dyDescent="0.25"/>
    <row r="218" s="59" customFormat="1" x14ac:dyDescent="0.25"/>
    <row r="219" s="59" customFormat="1" x14ac:dyDescent="0.25"/>
    <row r="220" s="59" customFormat="1" x14ac:dyDescent="0.25"/>
    <row r="221" s="59" customFormat="1" x14ac:dyDescent="0.25"/>
    <row r="222" s="59" customFormat="1" x14ac:dyDescent="0.25"/>
    <row r="223" s="59" customFormat="1" x14ac:dyDescent="0.25"/>
    <row r="224" s="59" customFormat="1" x14ac:dyDescent="0.25"/>
    <row r="225" s="59" customFormat="1" x14ac:dyDescent="0.25"/>
    <row r="226" s="59" customFormat="1" x14ac:dyDescent="0.25"/>
    <row r="227" s="59" customFormat="1" x14ac:dyDescent="0.25"/>
    <row r="228" s="59" customFormat="1" x14ac:dyDescent="0.25"/>
    <row r="229" s="59" customFormat="1" x14ac:dyDescent="0.25"/>
    <row r="230" s="59" customFormat="1" x14ac:dyDescent="0.25"/>
    <row r="231" s="59" customFormat="1" x14ac:dyDescent="0.25"/>
    <row r="232" s="59" customFormat="1" x14ac:dyDescent="0.25"/>
    <row r="233" s="59" customFormat="1" x14ac:dyDescent="0.25"/>
    <row r="234" s="59" customFormat="1" x14ac:dyDescent="0.25"/>
    <row r="235" s="59" customFormat="1" x14ac:dyDescent="0.25"/>
    <row r="236" s="59" customFormat="1" x14ac:dyDescent="0.25"/>
    <row r="237" s="59" customFormat="1" x14ac:dyDescent="0.25"/>
    <row r="238" s="59" customFormat="1" x14ac:dyDescent="0.25"/>
    <row r="239" s="59" customFormat="1" x14ac:dyDescent="0.25"/>
    <row r="240" s="59" customFormat="1" x14ac:dyDescent="0.25"/>
    <row r="241" s="59" customFormat="1" x14ac:dyDescent="0.25"/>
    <row r="242" s="59" customFormat="1" x14ac:dyDescent="0.25"/>
    <row r="243" s="59" customFormat="1" x14ac:dyDescent="0.25"/>
    <row r="244" s="59" customFormat="1" x14ac:dyDescent="0.25"/>
    <row r="245" s="59" customFormat="1" x14ac:dyDescent="0.25"/>
    <row r="246" s="59" customFormat="1" x14ac:dyDescent="0.25"/>
    <row r="247" s="59" customFormat="1" x14ac:dyDescent="0.25"/>
    <row r="248" s="59" customFormat="1" x14ac:dyDescent="0.25"/>
    <row r="249" s="59" customFormat="1" x14ac:dyDescent="0.25"/>
    <row r="250" s="59" customFormat="1" x14ac:dyDescent="0.25"/>
    <row r="251" s="59" customFormat="1" x14ac:dyDescent="0.25"/>
    <row r="252" s="59" customFormat="1" x14ac:dyDescent="0.25"/>
    <row r="253" s="59" customFormat="1" x14ac:dyDescent="0.25"/>
    <row r="254" s="59" customFormat="1" x14ac:dyDescent="0.25"/>
    <row r="255" s="59" customFormat="1" x14ac:dyDescent="0.25"/>
    <row r="256" s="59" customFormat="1" x14ac:dyDescent="0.25"/>
    <row r="257" s="59" customFormat="1" x14ac:dyDescent="0.25"/>
    <row r="258" s="59" customFormat="1" x14ac:dyDescent="0.25"/>
    <row r="259" s="59" customFormat="1" x14ac:dyDescent="0.25"/>
    <row r="260" s="59" customFormat="1" x14ac:dyDescent="0.25"/>
    <row r="261" s="59" customFormat="1" x14ac:dyDescent="0.25"/>
    <row r="262" s="59" customFormat="1" x14ac:dyDescent="0.25"/>
    <row r="263" s="59" customFormat="1" x14ac:dyDescent="0.25"/>
    <row r="264" s="59" customFormat="1" x14ac:dyDescent="0.25"/>
    <row r="265" s="59" customFormat="1" x14ac:dyDescent="0.25"/>
    <row r="266" s="59" customFormat="1" x14ac:dyDescent="0.25"/>
    <row r="267" s="59" customFormat="1" x14ac:dyDescent="0.25"/>
    <row r="268" s="59" customFormat="1" x14ac:dyDescent="0.25"/>
    <row r="269" s="59" customFormat="1" x14ac:dyDescent="0.25"/>
    <row r="270" s="59" customFormat="1" x14ac:dyDescent="0.25"/>
    <row r="271" s="59" customFormat="1" x14ac:dyDescent="0.25"/>
    <row r="272" s="59" customFormat="1" x14ac:dyDescent="0.25"/>
    <row r="273" s="59" customFormat="1" x14ac:dyDescent="0.25"/>
    <row r="274" s="59" customFormat="1" x14ac:dyDescent="0.25"/>
    <row r="275" s="59" customFormat="1" x14ac:dyDescent="0.25"/>
    <row r="276" s="59" customFormat="1" x14ac:dyDescent="0.25"/>
    <row r="277" s="59" customFormat="1" x14ac:dyDescent="0.25"/>
    <row r="278" s="59" customFormat="1" x14ac:dyDescent="0.25"/>
    <row r="279" s="59" customFormat="1" x14ac:dyDescent="0.25"/>
    <row r="280" s="59" customFormat="1" x14ac:dyDescent="0.25"/>
    <row r="281" s="59" customFormat="1" x14ac:dyDescent="0.25"/>
    <row r="282" s="59" customFormat="1" x14ac:dyDescent="0.25"/>
    <row r="283" s="59" customFormat="1" x14ac:dyDescent="0.25"/>
    <row r="284" s="59" customFormat="1" x14ac:dyDescent="0.25"/>
    <row r="285" s="59" customFormat="1" x14ac:dyDescent="0.25"/>
    <row r="286" s="59" customFormat="1" x14ac:dyDescent="0.25"/>
    <row r="287" s="59" customFormat="1" x14ac:dyDescent="0.25"/>
    <row r="288" s="59" customFormat="1" x14ac:dyDescent="0.25"/>
    <row r="289" s="59" customFormat="1" x14ac:dyDescent="0.25"/>
    <row r="290" s="59" customFormat="1" x14ac:dyDescent="0.25"/>
    <row r="291" s="59" customFormat="1" x14ac:dyDescent="0.25"/>
    <row r="292" s="59" customFormat="1" x14ac:dyDescent="0.25"/>
    <row r="293" s="59" customFormat="1" x14ac:dyDescent="0.25"/>
    <row r="294" s="59" customFormat="1" x14ac:dyDescent="0.25"/>
    <row r="295" s="59" customFormat="1" x14ac:dyDescent="0.25"/>
    <row r="296" s="59" customFormat="1" x14ac:dyDescent="0.25"/>
    <row r="297" s="59" customFormat="1" x14ac:dyDescent="0.25"/>
    <row r="298" s="59" customFormat="1" x14ac:dyDescent="0.25"/>
    <row r="299" s="59" customFormat="1" x14ac:dyDescent="0.25"/>
    <row r="300" s="59" customFormat="1" x14ac:dyDescent="0.25"/>
    <row r="301" s="59" customFormat="1" x14ac:dyDescent="0.25"/>
    <row r="302" s="59" customFormat="1" x14ac:dyDescent="0.25"/>
    <row r="303" s="59" customFormat="1" x14ac:dyDescent="0.25"/>
    <row r="304" s="59" customFormat="1" x14ac:dyDescent="0.25"/>
    <row r="305" s="59" customFormat="1" x14ac:dyDescent="0.25"/>
    <row r="306" s="59" customFormat="1" x14ac:dyDescent="0.25"/>
    <row r="307" s="59" customFormat="1" x14ac:dyDescent="0.25"/>
    <row r="308" s="59" customFormat="1" x14ac:dyDescent="0.25"/>
    <row r="309" s="59" customFormat="1" x14ac:dyDescent="0.25"/>
    <row r="310" s="59" customForma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2B6CCAA991A04AABB0A89969B42F67" ma:contentTypeVersion="15" ma:contentTypeDescription="Opprett et nytt dokument." ma:contentTypeScope="" ma:versionID="eb6e5ff781e7034182b2447f88979726">
  <xsd:schema xmlns:xsd="http://www.w3.org/2001/XMLSchema" xmlns:xs="http://www.w3.org/2001/XMLSchema" xmlns:p="http://schemas.microsoft.com/office/2006/metadata/properties" xmlns:ns2="69e18e68-21d8-4930-99a1-9aaeddcd3441" xmlns:ns3="42279743-b44f-4317-bc84-ba53d88bca7c" targetNamespace="http://schemas.microsoft.com/office/2006/metadata/properties" ma:root="true" ma:fieldsID="b7118dbbb554ccd6d2dade38e563b0e4" ns2:_="" ns3:_="">
    <xsd:import namespace="69e18e68-21d8-4930-99a1-9aaeddcd3441"/>
    <xsd:import namespace="42279743-b44f-4317-bc84-ba53d88b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18e68-21d8-4930-99a1-9aaeddcd3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7461edf0-826a-467d-9825-d0ed936e2d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79743-b44f-4317-bc84-ba53d88bca7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c2d80f8-6f45-41bf-8715-32477ca9f37d}" ma:internalName="TaxCatchAll" ma:showField="CatchAllData" ma:web="42279743-b44f-4317-bc84-ba53d88b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279743-b44f-4317-bc84-ba53d88bca7c" xsi:nil="true"/>
    <lcf76f155ced4ddcb4097134ff3c332f xmlns="69e18e68-21d8-4930-99a1-9aaeddcd34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1021DC-C02E-425A-B8DC-673E27412CD4}"/>
</file>

<file path=customXml/itemProps2.xml><?xml version="1.0" encoding="utf-8"?>
<ds:datastoreItem xmlns:ds="http://schemas.openxmlformats.org/officeDocument/2006/customXml" ds:itemID="{ED075177-4CC0-4917-9F1D-CE4A7226C183}"/>
</file>

<file path=customXml/itemProps3.xml><?xml version="1.0" encoding="utf-8"?>
<ds:datastoreItem xmlns:ds="http://schemas.openxmlformats.org/officeDocument/2006/customXml" ds:itemID="{0265A2A3-D684-44AC-BBF0-FF569E733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BREC_Pilot plant concept_NOME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Fischer</dc:creator>
  <cp:lastModifiedBy>Erik Fischer</cp:lastModifiedBy>
  <dcterms:created xsi:type="dcterms:W3CDTF">2024-12-19T11:09:09Z</dcterms:created>
  <dcterms:modified xsi:type="dcterms:W3CDTF">2024-12-19T12:59:12Z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0afd86-dcf7-4483-b9eb-5af1dcd104e1_Enabled">
    <vt:lpwstr>true</vt:lpwstr>
  </property>
  <property fmtid="{D5CDD505-2E9C-101B-9397-08002B2CF9AE}" pid="3" name="MSIP_Label_680afd86-dcf7-4483-b9eb-5af1dcd104e1_SetDate">
    <vt:lpwstr>2024-12-19T11:43:06Z</vt:lpwstr>
  </property>
  <property fmtid="{D5CDD505-2E9C-101B-9397-08002B2CF9AE}" pid="4" name="MSIP_Label_680afd86-dcf7-4483-b9eb-5af1dcd104e1_Method">
    <vt:lpwstr>Standard</vt:lpwstr>
  </property>
  <property fmtid="{D5CDD505-2E9C-101B-9397-08002B2CF9AE}" pid="5" name="MSIP_Label_680afd86-dcf7-4483-b9eb-5af1dcd104e1_Name">
    <vt:lpwstr>K2 Intern</vt:lpwstr>
  </property>
  <property fmtid="{D5CDD505-2E9C-101B-9397-08002B2CF9AE}" pid="6" name="MSIP_Label_680afd86-dcf7-4483-b9eb-5af1dcd104e1_SiteId">
    <vt:lpwstr>5a9809cf-0bcb-413a-838a-09ecc40cc9e8</vt:lpwstr>
  </property>
  <property fmtid="{D5CDD505-2E9C-101B-9397-08002B2CF9AE}" pid="7" name="MSIP_Label_680afd86-dcf7-4483-b9eb-5af1dcd104e1_ActionId">
    <vt:lpwstr>97559882-4250-417a-89b2-021e8c7173ab</vt:lpwstr>
  </property>
  <property fmtid="{D5CDD505-2E9C-101B-9397-08002B2CF9AE}" pid="8" name="MSIP_Label_680afd86-dcf7-4483-b9eb-5af1dcd104e1_ContentBits">
    <vt:lpwstr>0</vt:lpwstr>
  </property>
  <property fmtid="{D5CDD505-2E9C-101B-9397-08002B2CF9AE}" pid="9" name="ContentTypeId">
    <vt:lpwstr>0x0101007B2B6CCAA991A04AABB0A89969B42F67</vt:lpwstr>
  </property>
</Properties>
</file>